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8800" windowHeight="17544" activeTab="0"/>
  </bookViews>
  <sheets>
    <sheet name="2019C" sheetId="1" r:id="rId1"/>
    <sheet name="2019C Academic" sheetId="2" r:id="rId2"/>
    <sheet name="Percentage - Final" sheetId="3" r:id="rId3"/>
    <sheet name="Percentage-090111" sheetId="4" r:id="rId4"/>
  </sheets>
  <definedNames>
    <definedName name="_xlnm.Print_Area" localSheetId="2">'Percentage - Final'!$A$1:$R$65</definedName>
    <definedName name="_xlnm.Print_Titles" localSheetId="0">'2019C'!$A:$A</definedName>
    <definedName name="_xlnm.Print_Titles" localSheetId="1">'2019C Academic'!$A:$A</definedName>
  </definedNames>
  <calcPr fullCalcOnLoad="1"/>
</workbook>
</file>

<file path=xl/sharedStrings.xml><?xml version="1.0" encoding="utf-8"?>
<sst xmlns="http://schemas.openxmlformats.org/spreadsheetml/2006/main" count="920" uniqueCount="181">
  <si>
    <t>Payment</t>
  </si>
  <si>
    <t xml:space="preserve">   UMCP Fraternity/Sorority Houses (Auxiliary)</t>
  </si>
  <si>
    <t xml:space="preserve">   UMCP High Rise Residence -27th (Auxiliary)</t>
  </si>
  <si>
    <t xml:space="preserve">   UMCP High Rise Residence -29th (Auxiliary)</t>
  </si>
  <si>
    <t xml:space="preserve">      UMCP SCUB Utilities Facility (Auxiliary)</t>
  </si>
  <si>
    <t xml:space="preserve">        UMB New Campus Center (Auxiliary)</t>
  </si>
  <si>
    <t xml:space="preserve"> UMBC Hillcrest Demolition Parking (Auxiliary)</t>
  </si>
  <si>
    <t xml:space="preserve">     UMBC Dining Hall Upgrades (Auxiliary)</t>
  </si>
  <si>
    <t xml:space="preserve"> USMO Shady Grove Parking Garage (Auxiliary)</t>
  </si>
  <si>
    <t xml:space="preserve">         BSU New Student Center (Auxiliary)</t>
  </si>
  <si>
    <t xml:space="preserve">           CSU Parking Garage (Auxiliary)</t>
  </si>
  <si>
    <t xml:space="preserve">       FSU Lane Center Renovation (Auxiliary)</t>
  </si>
  <si>
    <t xml:space="preserve">       SU Dormitory Renovations (Auxiliary)</t>
  </si>
  <si>
    <t xml:space="preserve">      TU Resident Hall Renovations (Auxiliary)</t>
  </si>
  <si>
    <t xml:space="preserve">  Debt Svc from Earnings and Accrued Interest</t>
  </si>
  <si>
    <t>Date</t>
  </si>
  <si>
    <t>Principal</t>
  </si>
  <si>
    <t>Interest</t>
  </si>
  <si>
    <t>Total</t>
  </si>
  <si>
    <t xml:space="preserve">      UMCP Facilities Renewal (Academic)</t>
  </si>
  <si>
    <t xml:space="preserve">        UMB Emergency Projects (Acedemic)</t>
  </si>
  <si>
    <t xml:space="preserve">      UMES Facilities Renewal (Academic)</t>
  </si>
  <si>
    <t xml:space="preserve">         UMBC Facilities Renewal (Academic)</t>
  </si>
  <si>
    <t xml:space="preserve">   USMO Shady Grove Edu Ctr (Academic)</t>
  </si>
  <si>
    <t xml:space="preserve">       BSU Facilities Renewal (Academic)</t>
  </si>
  <si>
    <t>BSU Fine and performing Arts Center (Academic)</t>
  </si>
  <si>
    <t xml:space="preserve">        CSU Facilities Renewal (Academic)</t>
  </si>
  <si>
    <t xml:space="preserve">  CSU New Physical Edu. Complex (Academic)</t>
  </si>
  <si>
    <t xml:space="preserve">          CSU Emergency Projects (Academic)</t>
  </si>
  <si>
    <t xml:space="preserve">          FSU Facilities Renewal (Academic)</t>
  </si>
  <si>
    <t xml:space="preserve">          SU Facilities Renewal (Academic)</t>
  </si>
  <si>
    <t xml:space="preserve">          TU Facilities Renewal (Academic)</t>
  </si>
  <si>
    <t>Percent</t>
  </si>
  <si>
    <t>Inst</t>
  </si>
  <si>
    <t>Type</t>
  </si>
  <si>
    <t>Project</t>
  </si>
  <si>
    <t>UMCP</t>
  </si>
  <si>
    <t>UMB</t>
  </si>
  <si>
    <t>UMBI</t>
  </si>
  <si>
    <t>UMES</t>
  </si>
  <si>
    <t>UMBC</t>
  </si>
  <si>
    <t>UMCES</t>
  </si>
  <si>
    <t>USMO</t>
  </si>
  <si>
    <t>BSU</t>
  </si>
  <si>
    <t>CSU</t>
  </si>
  <si>
    <t>FSU</t>
  </si>
  <si>
    <t>SU</t>
  </si>
  <si>
    <t>TU</t>
  </si>
  <si>
    <t>UB</t>
  </si>
  <si>
    <t>by project</t>
  </si>
  <si>
    <t>Total dollars:</t>
  </si>
  <si>
    <t>29th Acad</t>
  </si>
  <si>
    <t>Facilities Renewal</t>
  </si>
  <si>
    <t>28th Acad</t>
  </si>
  <si>
    <t>25th Acad</t>
  </si>
  <si>
    <t>Emergency Project</t>
  </si>
  <si>
    <t>28,29th Acad</t>
  </si>
  <si>
    <t>Pharmacy Hall Addition and Renovation</t>
  </si>
  <si>
    <t>Shady Grove Education Center III</t>
  </si>
  <si>
    <t>27th Acad</t>
  </si>
  <si>
    <t xml:space="preserve">New Physical Education Complex </t>
  </si>
  <si>
    <t>22nd Acad</t>
  </si>
  <si>
    <t>28,29th Aux</t>
  </si>
  <si>
    <t>Fraternity/Sorority Houses Renovation</t>
  </si>
  <si>
    <t>27th Aux</t>
  </si>
  <si>
    <t>High Rise Residence Hall A/C</t>
  </si>
  <si>
    <t>29th Aux</t>
  </si>
  <si>
    <t>26th Aux</t>
  </si>
  <si>
    <t>SCUB Utilities Facility</t>
  </si>
  <si>
    <t>Hillcrest Demolition/Parking Lot</t>
  </si>
  <si>
    <t>Resident Hall Renovations</t>
  </si>
  <si>
    <t>Shady Grove Center Parking Garage</t>
  </si>
  <si>
    <t>28th Aux</t>
  </si>
  <si>
    <t>New Student Center</t>
  </si>
  <si>
    <t>Parking Garage</t>
  </si>
  <si>
    <t>Lane Center Renovation/Addition</t>
  </si>
  <si>
    <t>Dormitory Renovations, Campus-Wide</t>
  </si>
  <si>
    <t>30th Aux</t>
  </si>
  <si>
    <t>Mixed-Use Development - Student Housing</t>
  </si>
  <si>
    <t>31st Aux</t>
  </si>
  <si>
    <t>Student Housing - West Village PH I</t>
  </si>
  <si>
    <t>Towson Center Arena Improvement</t>
  </si>
  <si>
    <t>West Village Dining Commons</t>
  </si>
  <si>
    <t>West Village Parking Structure</t>
  </si>
  <si>
    <t>Percent by Institution:</t>
  </si>
  <si>
    <t>29, 32 Acad</t>
  </si>
  <si>
    <t>College of Liberal Arts Complex</t>
  </si>
  <si>
    <t>Utilities Upgrade/Site Improvement</t>
  </si>
  <si>
    <t>32nd Aux</t>
  </si>
  <si>
    <t>29,32th Aux</t>
  </si>
  <si>
    <t>27,28,29th Aux</t>
  </si>
  <si>
    <t xml:space="preserve">          Distribution of Debt Services</t>
  </si>
  <si>
    <t xml:space="preserve">       University System of Maryland</t>
  </si>
  <si>
    <t xml:space="preserve">       UMES Utilities Upgrade (Academic)</t>
  </si>
  <si>
    <t xml:space="preserve">          FSU Emergency Projects (Academic)</t>
  </si>
  <si>
    <t xml:space="preserve"> TU College of Liberal Arts Complex (Academic)</t>
  </si>
  <si>
    <t xml:space="preserve">          UB Emergency Projects (Academic)</t>
  </si>
  <si>
    <t xml:space="preserve">   UMCP High Rise Residence - 32nd (Auxiliary)</t>
  </si>
  <si>
    <t xml:space="preserve">              University System of Maryland</t>
  </si>
  <si>
    <t xml:space="preserve">                Distribution of Debt Services</t>
  </si>
  <si>
    <t>Athletic Practice Fields</t>
  </si>
  <si>
    <t>22,25,28th Acad</t>
  </si>
  <si>
    <t>26,29th Acad</t>
  </si>
  <si>
    <t>19,24,32th Acad</t>
  </si>
  <si>
    <t>28,29,32 Acad</t>
  </si>
  <si>
    <t>27,28,29,32th Acad</t>
  </si>
  <si>
    <t>24,25,26,27,28,29, 32th Acad</t>
  </si>
  <si>
    <t>32nd,29th Acad</t>
  </si>
  <si>
    <t>CSS and Residence Halls C SCUB Exp</t>
  </si>
  <si>
    <t>New Recreation and Athletics</t>
  </si>
  <si>
    <t>28,29,30,32th Aux</t>
  </si>
  <si>
    <t>Burdick  PH2 Air Conditioning</t>
  </si>
  <si>
    <t>West Village Infrastructure &amp; Site Improve</t>
  </si>
  <si>
    <t/>
  </si>
  <si>
    <t>2010 Series D &amp; E Bonds</t>
  </si>
  <si>
    <t>2010 Series D &amp; E Bond Funded Projects</t>
  </si>
  <si>
    <t>2010 Series D &amp; 2010 Series E Bond Funded Projects</t>
  </si>
  <si>
    <t>32nd Acad</t>
  </si>
  <si>
    <t>Fine and Performing Arts Center</t>
  </si>
  <si>
    <t>26,27,29th Acad</t>
  </si>
  <si>
    <t>Campus-Wide Safety &amp; Circulation Improve</t>
  </si>
  <si>
    <t>28,29,32nd Acad</t>
  </si>
  <si>
    <t>26th Acad</t>
  </si>
  <si>
    <t>25,26th Acad</t>
  </si>
  <si>
    <t>26,27,28th Aux</t>
  </si>
  <si>
    <t>New Campus Center</t>
  </si>
  <si>
    <t>Dining Hall: Upgrades</t>
  </si>
  <si>
    <t>New Parking Garage &amp; Property Acquisition</t>
  </si>
  <si>
    <t>2010E Balance</t>
  </si>
  <si>
    <t>2010E</t>
  </si>
  <si>
    <t>Balance</t>
  </si>
  <si>
    <t xml:space="preserve">         UMCP Emergency Projects (Academic) </t>
  </si>
  <si>
    <t xml:space="preserve">        UMB Facilities Renewal (Academic)</t>
  </si>
  <si>
    <t xml:space="preserve">       UMB Phamacy Hall Addition (Academic)</t>
  </si>
  <si>
    <t xml:space="preserve">      UMES Emergency Projects (Academic)</t>
  </si>
  <si>
    <t xml:space="preserve">   CEES Emergency Projects (Academic)</t>
  </si>
  <si>
    <t xml:space="preserve"> TU Campus-Wide Safety/Circulation (Acad)</t>
  </si>
  <si>
    <t xml:space="preserve"> UMCP CSS/Residence Halls SCUB Exp (Aux)</t>
  </si>
  <si>
    <t>UMBC New Recreation and Athletics (Auxiliary)</t>
  </si>
  <si>
    <t xml:space="preserve">      TU West Village Infrastructure (Auxiliary)</t>
  </si>
  <si>
    <t xml:space="preserve">   UMBC Resident Hall Renovations (Auxiliary)</t>
  </si>
  <si>
    <t xml:space="preserve">  UMBC Athletic Practice Fields (Auxiliary)</t>
  </si>
  <si>
    <t xml:space="preserve"> SU Mixed-Used Student Housing (Auxiliary)</t>
  </si>
  <si>
    <t>SU Parking Garage &amp; Property Acquisition (Auxi)</t>
  </si>
  <si>
    <t xml:space="preserve">    TU Burdick PH2 Air Conditioning (Auxiliary)</t>
  </si>
  <si>
    <t xml:space="preserve"> TU Student Housing - West Village I (Auxiliary)</t>
  </si>
  <si>
    <t xml:space="preserve">  TU West Village Dining Commons (Auxiliary)</t>
  </si>
  <si>
    <t xml:space="preserve">  TU West Village Parking Structure (Auxiliary)</t>
  </si>
  <si>
    <t xml:space="preserve"> TU Towson Ceter Arena Improvement (Auxiliary)</t>
  </si>
  <si>
    <t>33rd Acad</t>
  </si>
  <si>
    <t>New Performing Arts &amp; Humanities Facility</t>
  </si>
  <si>
    <t>29, 32, 33 Acad</t>
  </si>
  <si>
    <t>28,29,32,33 Acad</t>
  </si>
  <si>
    <t>26,29,32 Acad</t>
  </si>
  <si>
    <t>29, 32nd Acad</t>
  </si>
  <si>
    <t>26,27,28,29th Acad</t>
  </si>
  <si>
    <t>25,26,28th Acad</t>
  </si>
  <si>
    <t>19,22,25,28th Acad</t>
  </si>
  <si>
    <t>33rd Aux</t>
  </si>
  <si>
    <t>Replace Carroll, Caroline, Wicomico</t>
  </si>
  <si>
    <t>28,29,30,32,33th Aux</t>
  </si>
  <si>
    <t>Parking System Improvements</t>
  </si>
  <si>
    <t>28,29,32th Aux</t>
  </si>
  <si>
    <t>31,32 Aux</t>
  </si>
  <si>
    <t>29,32nd Aux</t>
  </si>
  <si>
    <t>Ward Hall Renovation, Health Center</t>
  </si>
  <si>
    <t>Surface Lots</t>
  </si>
  <si>
    <t>UMBC New Performing Arts &amp; Humanities (Acad)</t>
  </si>
  <si>
    <t xml:space="preserve">         UMCES Facilities Renewal (Academic)</t>
  </si>
  <si>
    <t xml:space="preserve">          UB Facilities Renewal (Academic)</t>
  </si>
  <si>
    <t xml:space="preserve"> UMCP Replace Carrol/Caroline/Wicomico (Aux)</t>
  </si>
  <si>
    <t xml:space="preserve">        Total Academic Projects - 2010D &amp; E</t>
  </si>
  <si>
    <t xml:space="preserve">           Total Auxiliary Projects - 2010D &amp; E</t>
  </si>
  <si>
    <t>Total Debt Service 2010 Series D &amp; E</t>
  </si>
  <si>
    <t>Amort of</t>
  </si>
  <si>
    <t>Premium</t>
  </si>
  <si>
    <t xml:space="preserve">      UMCP/UMBI Facilities Renewal (Academic)</t>
  </si>
  <si>
    <t xml:space="preserve">  USM( Paid off by TU FY12) (Aux)</t>
  </si>
  <si>
    <t>2010 Series D &amp; 2010 Series E Bond Funded Projects Refinanced on  2019C</t>
  </si>
  <si>
    <t>Refinanced on 2019C</t>
  </si>
  <si>
    <t>Loss on Refunding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</si>
</sst>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0.00000%"/>
    <numFmt numFmtId="174" formatCode="_(* #,##0.0_);_(* \(#,##0.0\);_(* &quot;-&quot;??_);_(@_)"/>
    <numFmt numFmtId="175" formatCode="_(* #,##0_);_(* \(#,##0\);_(* &quot;-&quot;??_);_(@_)"/>
    <numFmt numFmtId="176" formatCode="_(* #,##0.00000_);_(* \(#,##0.00000\);_(* &quot;-&quot;?????_);_(@_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17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right"/>
    </xf>
    <xf numFmtId="38" fontId="0" fillId="0" borderId="0" xfId="0" applyNumberFormat="1" applyAlignment="1" quotePrefix="1">
      <alignment horizontal="left"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38" fontId="0" fillId="33" borderId="11" xfId="0" applyNumberFormat="1" applyFill="1" applyBorder="1" applyAlignment="1">
      <alignment horizontal="right"/>
    </xf>
    <xf numFmtId="38" fontId="0" fillId="0" borderId="12" xfId="0" applyNumberFormat="1" applyBorder="1" applyAlignment="1" quotePrefix="1">
      <alignment horizontal="lef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>
      <alignment horizontal="right"/>
    </xf>
    <xf numFmtId="38" fontId="0" fillId="0" borderId="14" xfId="0" applyNumberFormat="1" applyBorder="1" applyAlignment="1">
      <alignment horizontal="right"/>
    </xf>
    <xf numFmtId="3" fontId="0" fillId="0" borderId="12" xfId="0" applyNumberFormat="1" applyBorder="1" applyAlignment="1" quotePrefix="1">
      <alignment horizontal="left"/>
    </xf>
    <xf numFmtId="3" fontId="0" fillId="0" borderId="14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73" fontId="0" fillId="0" borderId="15" xfId="0" applyNumberFormat="1" applyBorder="1" applyAlignment="1">
      <alignment horizontal="center"/>
    </xf>
    <xf numFmtId="173" fontId="0" fillId="0" borderId="16" xfId="0" applyNumberFormat="1" applyBorder="1" applyAlignment="1">
      <alignment/>
    </xf>
    <xf numFmtId="173" fontId="0" fillId="0" borderId="13" xfId="0" applyNumberFormat="1" applyBorder="1" applyAlignment="1">
      <alignment/>
    </xf>
    <xf numFmtId="173" fontId="0" fillId="0" borderId="11" xfId="0" applyNumberFormat="1" applyBorder="1" applyAlignment="1">
      <alignment horizontal="right"/>
    </xf>
    <xf numFmtId="173" fontId="0" fillId="0" borderId="13" xfId="0" applyNumberFormat="1" applyBorder="1" applyAlignment="1">
      <alignment horizontal="right"/>
    </xf>
    <xf numFmtId="173" fontId="0" fillId="0" borderId="12" xfId="0" applyNumberFormat="1" applyBorder="1" applyAlignment="1" quotePrefix="1">
      <alignment horizontal="right"/>
    </xf>
    <xf numFmtId="173" fontId="0" fillId="0" borderId="14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11" xfId="0" applyNumberFormat="1" applyBorder="1" applyAlignment="1">
      <alignment/>
    </xf>
    <xf numFmtId="172" fontId="0" fillId="0" borderId="17" xfId="0" applyNumberFormat="1" applyBorder="1" applyAlignment="1">
      <alignment horizontal="center"/>
    </xf>
    <xf numFmtId="38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38" fontId="0" fillId="0" borderId="19" xfId="0" applyNumberFormat="1" applyBorder="1" applyAlignment="1">
      <alignment horizontal="right"/>
    </xf>
    <xf numFmtId="38" fontId="0" fillId="0" borderId="12" xfId="0" applyNumberFormat="1" applyBorder="1" applyAlignment="1">
      <alignment horizontal="left"/>
    </xf>
    <xf numFmtId="38" fontId="0" fillId="0" borderId="16" xfId="0" applyNumberFormat="1" applyBorder="1" applyAlignment="1">
      <alignment horizontal="right"/>
    </xf>
    <xf numFmtId="38" fontId="0" fillId="0" borderId="13" xfId="0" applyNumberFormat="1" applyBorder="1" applyAlignment="1">
      <alignment horizontal="center"/>
    </xf>
    <xf numFmtId="38" fontId="0" fillId="0" borderId="15" xfId="0" applyNumberFormat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173" fontId="0" fillId="0" borderId="16" xfId="0" applyNumberFormat="1" applyBorder="1" applyAlignment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Fill="1" applyBorder="1" applyAlignment="1">
      <alignment/>
    </xf>
    <xf numFmtId="0" fontId="0" fillId="0" borderId="0" xfId="0" applyAlignment="1" quotePrefix="1">
      <alignment horizontal="left"/>
    </xf>
    <xf numFmtId="40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40" fontId="0" fillId="0" borderId="12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40" fontId="0" fillId="0" borderId="21" xfId="0" applyNumberFormat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22" xfId="0" applyNumberFormat="1" applyBorder="1" applyAlignment="1">
      <alignment horizontal="right"/>
    </xf>
    <xf numFmtId="173" fontId="0" fillId="0" borderId="2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0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40" fontId="0" fillId="0" borderId="23" xfId="0" applyNumberFormat="1" applyBorder="1" applyAlignment="1">
      <alignment/>
    </xf>
    <xf numFmtId="173" fontId="0" fillId="0" borderId="23" xfId="0" applyNumberFormat="1" applyBorder="1" applyAlignment="1">
      <alignment/>
    </xf>
    <xf numFmtId="4" fontId="0" fillId="0" borderId="0" xfId="0" applyNumberFormat="1" applyAlignment="1">
      <alignment/>
    </xf>
    <xf numFmtId="173" fontId="0" fillId="0" borderId="0" xfId="0" applyNumberFormat="1" applyAlignment="1" quotePrefix="1">
      <alignment horizontal="right"/>
    </xf>
    <xf numFmtId="173" fontId="0" fillId="0" borderId="19" xfId="0" applyNumberFormat="1" applyBorder="1" applyAlignment="1">
      <alignment/>
    </xf>
    <xf numFmtId="173" fontId="0" fillId="0" borderId="22" xfId="0" applyNumberFormat="1" applyBorder="1" applyAlignment="1">
      <alignment/>
    </xf>
    <xf numFmtId="40" fontId="0" fillId="0" borderId="0" xfId="0" applyNumberFormat="1" applyBorder="1" applyAlignment="1" quotePrefix="1">
      <alignment horizontal="left"/>
    </xf>
    <xf numFmtId="173" fontId="0" fillId="0" borderId="0" xfId="0" applyNumberFormat="1" applyBorder="1" applyAlignment="1">
      <alignment horizontal="right"/>
    </xf>
    <xf numFmtId="0" fontId="0" fillId="0" borderId="0" xfId="0" applyAlignment="1" quotePrefix="1">
      <alignment/>
    </xf>
    <xf numFmtId="38" fontId="0" fillId="0" borderId="20" xfId="0" applyNumberFormat="1" applyBorder="1" applyAlignment="1">
      <alignment horizontal="center"/>
    </xf>
    <xf numFmtId="40" fontId="0" fillId="0" borderId="0" xfId="0" applyNumberFormat="1" applyFill="1" applyBorder="1" applyAlignment="1">
      <alignment horizontal="right"/>
    </xf>
    <xf numFmtId="40" fontId="0" fillId="0" borderId="0" xfId="0" applyNumberFormat="1" applyFill="1" applyBorder="1" applyAlignment="1">
      <alignment horizontal="center"/>
    </xf>
    <xf numFmtId="40" fontId="0" fillId="0" borderId="0" xfId="0" applyNumberFormat="1" applyFill="1" applyAlignment="1">
      <alignment/>
    </xf>
    <xf numFmtId="175" fontId="0" fillId="0" borderId="0" xfId="42" applyNumberFormat="1" applyFont="1" applyAlignment="1">
      <alignment/>
    </xf>
    <xf numFmtId="38" fontId="0" fillId="33" borderId="14" xfId="0" applyNumberFormat="1" applyFill="1" applyBorder="1" applyAlignment="1">
      <alignment horizontal="centerContinuous"/>
    </xf>
    <xf numFmtId="38" fontId="0" fillId="33" borderId="11" xfId="0" applyNumberFormat="1" applyFill="1" applyBorder="1" applyAlignment="1">
      <alignment horizontal="centerContinuous"/>
    </xf>
    <xf numFmtId="38" fontId="0" fillId="0" borderId="11" xfId="0" applyNumberFormat="1" applyBorder="1" applyAlignment="1">
      <alignment horizontal="center"/>
    </xf>
    <xf numFmtId="38" fontId="0" fillId="34" borderId="11" xfId="0" applyNumberFormat="1" applyFont="1" applyFill="1" applyBorder="1" applyAlignment="1">
      <alignment horizontal="right"/>
    </xf>
    <xf numFmtId="38" fontId="0" fillId="34" borderId="0" xfId="0" applyNumberFormat="1" applyFont="1" applyFill="1" applyBorder="1" applyAlignment="1">
      <alignment horizontal="right"/>
    </xf>
    <xf numFmtId="38" fontId="0" fillId="0" borderId="0" xfId="0" applyNumberFormat="1" applyBorder="1" applyAlignment="1">
      <alignment horizontal="center"/>
    </xf>
    <xf numFmtId="3" fontId="2" fillId="0" borderId="12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555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9" sqref="E9"/>
    </sheetView>
  </sheetViews>
  <sheetFormatPr defaultColWidth="13.7109375" defaultRowHeight="12.75"/>
  <cols>
    <col min="1" max="1" width="9.7109375" style="36" customWidth="1"/>
    <col min="2" max="2" width="3.7109375" style="0" customWidth="1"/>
    <col min="3" max="7" width="13.7109375" style="3" customWidth="1"/>
    <col min="8" max="8" width="3.7109375" style="5" customWidth="1"/>
    <col min="9" max="13" width="13.7109375" style="5" customWidth="1"/>
    <col min="14" max="14" width="3.7109375" style="5" customWidth="1"/>
    <col min="15" max="19" width="13.7109375" style="0" customWidth="1"/>
    <col min="20" max="20" width="3.7109375" style="5" customWidth="1"/>
    <col min="21" max="25" width="13.7109375" style="0" customWidth="1"/>
    <col min="26" max="26" width="3.7109375" style="5" customWidth="1"/>
    <col min="27" max="31" width="13.7109375" style="0" customWidth="1"/>
    <col min="32" max="32" width="3.7109375" style="5" customWidth="1"/>
    <col min="33" max="37" width="13.7109375" style="5" customWidth="1"/>
    <col min="38" max="38" width="3.7109375" style="5" customWidth="1"/>
    <col min="39" max="43" width="13.7109375" style="5" customWidth="1"/>
    <col min="44" max="44" width="3.7109375" style="5" customWidth="1"/>
    <col min="45" max="49" width="13.7109375" style="5" customWidth="1"/>
    <col min="50" max="50" width="3.7109375" style="5" customWidth="1"/>
    <col min="51" max="55" width="13.7109375" style="0" customWidth="1"/>
    <col min="56" max="56" width="3.7109375" style="5" customWidth="1"/>
    <col min="57" max="61" width="13.7109375" style="0" customWidth="1"/>
    <col min="62" max="62" width="3.7109375" style="6" customWidth="1"/>
    <col min="63" max="67" width="13.7109375" style="0" customWidth="1"/>
    <col min="68" max="68" width="3.7109375" style="6" customWidth="1"/>
    <col min="69" max="73" width="13.7109375" style="0" customWidth="1"/>
    <col min="74" max="74" width="3.7109375" style="0" customWidth="1"/>
    <col min="75" max="79" width="13.7109375" style="6" customWidth="1"/>
    <col min="80" max="80" width="3.7109375" style="6" customWidth="1"/>
    <col min="81" max="85" width="13.7109375" style="6" customWidth="1"/>
    <col min="86" max="86" width="3.7109375" style="6" customWidth="1"/>
    <col min="87" max="91" width="12.7109375" style="6" customWidth="1"/>
    <col min="92" max="92" width="3.7109375" style="6" customWidth="1"/>
    <col min="93" max="97" width="13.7109375" style="6" customWidth="1"/>
    <col min="98" max="98" width="3.7109375" style="6" customWidth="1"/>
    <col min="99" max="103" width="13.7109375" style="6" customWidth="1"/>
    <col min="104" max="104" width="3.7109375" style="6" customWidth="1"/>
    <col min="105" max="109" width="13.7109375" style="6" customWidth="1"/>
    <col min="110" max="110" width="3.7109375" style="6" customWidth="1"/>
    <col min="111" max="115" width="13.7109375" style="6" customWidth="1"/>
    <col min="116" max="116" width="3.7109375" style="6" customWidth="1"/>
    <col min="117" max="121" width="13.7109375" style="6" customWidth="1"/>
    <col min="122" max="122" width="3.7109375" style="6" customWidth="1"/>
    <col min="123" max="127" width="13.7109375" style="6" customWidth="1"/>
    <col min="128" max="128" width="3.7109375" style="6" customWidth="1"/>
    <col min="129" max="133" width="13.7109375" style="6" customWidth="1"/>
    <col min="134" max="134" width="3.7109375" style="6" customWidth="1"/>
    <col min="135" max="139" width="12.7109375" style="6" customWidth="1"/>
    <col min="140" max="140" width="3.7109375" style="6" customWidth="1"/>
    <col min="141" max="145" width="13.7109375" style="6" customWidth="1"/>
    <col min="146" max="146" width="3.7109375" style="6" customWidth="1"/>
    <col min="147" max="151" width="13.7109375" style="6" customWidth="1"/>
    <col min="152" max="152" width="3.7109375" style="6" customWidth="1"/>
    <col min="153" max="157" width="13.7109375" style="6" customWidth="1"/>
    <col min="158" max="158" width="3.7109375" style="6" customWidth="1"/>
    <col min="159" max="163" width="13.7109375" style="6" customWidth="1"/>
    <col min="164" max="164" width="3.7109375" style="6" customWidth="1"/>
    <col min="165" max="169" width="13.7109375" style="6" customWidth="1"/>
    <col min="170" max="170" width="3.7109375" style="6" customWidth="1"/>
    <col min="171" max="175" width="13.7109375" style="6" customWidth="1"/>
    <col min="176" max="176" width="3.7109375" style="6" customWidth="1"/>
    <col min="177" max="181" width="13.7109375" style="6" customWidth="1"/>
    <col min="182" max="182" width="3.7109375" style="6" customWidth="1"/>
    <col min="183" max="187" width="13.7109375" style="6" customWidth="1"/>
    <col min="188" max="188" width="3.7109375" style="6" customWidth="1"/>
    <col min="189" max="191" width="13.7109375" style="6" customWidth="1"/>
    <col min="192" max="192" width="3.7109375" style="0" customWidth="1"/>
  </cols>
  <sheetData>
    <row r="1" spans="1:183" ht="12.75">
      <c r="A1" s="1"/>
      <c r="B1" s="2"/>
      <c r="C1" s="4" t="s">
        <v>98</v>
      </c>
      <c r="D1" s="4"/>
      <c r="I1" s="4"/>
      <c r="O1" s="4" t="s">
        <v>98</v>
      </c>
      <c r="AG1" s="4" t="s">
        <v>98</v>
      </c>
      <c r="AY1" s="4" t="s">
        <v>98</v>
      </c>
      <c r="BW1" s="4" t="s">
        <v>98</v>
      </c>
      <c r="CC1" s="4"/>
      <c r="CI1" s="4"/>
      <c r="CO1" s="4" t="s">
        <v>98</v>
      </c>
      <c r="DM1" s="4" t="s">
        <v>98</v>
      </c>
      <c r="EE1" s="4" t="s">
        <v>98</v>
      </c>
      <c r="EW1" s="4" t="s">
        <v>98</v>
      </c>
      <c r="FI1" s="4"/>
      <c r="GA1" s="4" t="s">
        <v>98</v>
      </c>
    </row>
    <row r="2" spans="1:183" ht="12.75">
      <c r="A2" s="1"/>
      <c r="B2" s="2"/>
      <c r="C2" s="4" t="s">
        <v>99</v>
      </c>
      <c r="D2" s="4"/>
      <c r="I2" s="4"/>
      <c r="O2" s="4" t="s">
        <v>99</v>
      </c>
      <c r="AG2" s="4" t="s">
        <v>99</v>
      </c>
      <c r="AY2" s="4" t="s">
        <v>99</v>
      </c>
      <c r="BW2" s="4" t="s">
        <v>99</v>
      </c>
      <c r="CC2" s="4"/>
      <c r="CI2" s="4"/>
      <c r="CO2" s="4" t="s">
        <v>99</v>
      </c>
      <c r="DM2" s="4" t="s">
        <v>99</v>
      </c>
      <c r="EE2" s="4" t="s">
        <v>99</v>
      </c>
      <c r="EW2" s="4" t="s">
        <v>99</v>
      </c>
      <c r="FI2" s="4"/>
      <c r="GA2" s="4" t="s">
        <v>99</v>
      </c>
    </row>
    <row r="3" spans="1:183" ht="12.75">
      <c r="A3" s="1"/>
      <c r="B3" s="2"/>
      <c r="C3" s="4" t="s">
        <v>178</v>
      </c>
      <c r="D3" s="7"/>
      <c r="I3" s="4"/>
      <c r="O3" s="4" t="s">
        <v>116</v>
      </c>
      <c r="P3" s="8"/>
      <c r="AG3" s="4" t="s">
        <v>116</v>
      </c>
      <c r="AY3" s="4" t="s">
        <v>116</v>
      </c>
      <c r="BW3" s="4" t="s">
        <v>116</v>
      </c>
      <c r="CC3" s="4"/>
      <c r="CI3" s="4"/>
      <c r="CO3" s="4" t="s">
        <v>116</v>
      </c>
      <c r="DM3" s="4" t="s">
        <v>116</v>
      </c>
      <c r="EE3" s="4" t="s">
        <v>116</v>
      </c>
      <c r="EW3" s="4" t="s">
        <v>116</v>
      </c>
      <c r="FI3" s="4"/>
      <c r="GA3" s="4" t="s">
        <v>116</v>
      </c>
    </row>
    <row r="4" spans="1:4" ht="12.75">
      <c r="A4" s="1"/>
      <c r="B4" s="2"/>
      <c r="C4" s="4"/>
      <c r="D4" s="4"/>
    </row>
    <row r="5" spans="1:191" ht="12.75">
      <c r="A5" s="9" t="s">
        <v>0</v>
      </c>
      <c r="C5" s="78" t="s">
        <v>173</v>
      </c>
      <c r="D5" s="78"/>
      <c r="E5" s="79"/>
      <c r="F5" s="10"/>
      <c r="G5" s="30"/>
      <c r="I5" s="11" t="s">
        <v>171</v>
      </c>
      <c r="J5" s="12"/>
      <c r="K5" s="13"/>
      <c r="L5" s="81"/>
      <c r="M5" s="30"/>
      <c r="O5" s="11" t="s">
        <v>172</v>
      </c>
      <c r="P5" s="14"/>
      <c r="Q5" s="13"/>
      <c r="R5" s="81"/>
      <c r="S5" s="30"/>
      <c r="U5" s="18" t="s">
        <v>170</v>
      </c>
      <c r="V5" s="16"/>
      <c r="W5" s="17"/>
      <c r="X5" s="81"/>
      <c r="Y5" s="30"/>
      <c r="AA5" s="15" t="s">
        <v>1</v>
      </c>
      <c r="AB5" s="16"/>
      <c r="AC5" s="17"/>
      <c r="AD5" s="81"/>
      <c r="AE5" s="30"/>
      <c r="AG5" s="18" t="s">
        <v>2</v>
      </c>
      <c r="AH5" s="16"/>
      <c r="AI5" s="17"/>
      <c r="AJ5" s="81"/>
      <c r="AK5" s="30"/>
      <c r="AM5" s="18" t="s">
        <v>3</v>
      </c>
      <c r="AN5" s="16"/>
      <c r="AO5" s="17"/>
      <c r="AP5" s="81"/>
      <c r="AQ5" s="30"/>
      <c r="AS5" s="18" t="s">
        <v>97</v>
      </c>
      <c r="AT5" s="16"/>
      <c r="AU5" s="17"/>
      <c r="AV5" s="81"/>
      <c r="AW5" s="30"/>
      <c r="AY5" s="18" t="s">
        <v>137</v>
      </c>
      <c r="AZ5" s="16"/>
      <c r="BA5" s="17"/>
      <c r="BB5" s="81"/>
      <c r="BC5" s="30"/>
      <c r="BE5" s="15" t="s">
        <v>4</v>
      </c>
      <c r="BF5" s="16"/>
      <c r="BG5" s="17"/>
      <c r="BH5" s="81"/>
      <c r="BI5" s="30"/>
      <c r="BK5" s="15" t="s">
        <v>5</v>
      </c>
      <c r="BL5" s="16"/>
      <c r="BM5" s="17"/>
      <c r="BN5" s="81"/>
      <c r="BO5" s="30"/>
      <c r="BQ5" s="18" t="s">
        <v>138</v>
      </c>
      <c r="BR5" s="16"/>
      <c r="BS5" s="17"/>
      <c r="BT5" s="81"/>
      <c r="BU5" s="30"/>
      <c r="BV5" s="19"/>
      <c r="BW5" s="18" t="s">
        <v>140</v>
      </c>
      <c r="BX5" s="16"/>
      <c r="BY5" s="17"/>
      <c r="BZ5" s="81"/>
      <c r="CA5" s="30"/>
      <c r="CC5" s="18" t="s">
        <v>6</v>
      </c>
      <c r="CD5" s="16"/>
      <c r="CE5" s="17"/>
      <c r="CF5" s="81"/>
      <c r="CG5" s="30"/>
      <c r="CI5" s="18" t="s">
        <v>141</v>
      </c>
      <c r="CJ5" s="16"/>
      <c r="CK5" s="17"/>
      <c r="CL5" s="81"/>
      <c r="CM5" s="30"/>
      <c r="CO5" s="15" t="s">
        <v>7</v>
      </c>
      <c r="CP5" s="16"/>
      <c r="CQ5" s="17"/>
      <c r="CR5" s="81"/>
      <c r="CS5" s="30"/>
      <c r="CU5" s="15" t="s">
        <v>8</v>
      </c>
      <c r="CV5" s="16"/>
      <c r="CW5" s="17"/>
      <c r="CX5" s="81"/>
      <c r="CY5" s="30"/>
      <c r="DA5" s="84" t="s">
        <v>177</v>
      </c>
      <c r="DB5" s="16"/>
      <c r="DC5" s="17"/>
      <c r="DD5" s="81"/>
      <c r="DE5" s="30"/>
      <c r="DG5" s="15" t="s">
        <v>9</v>
      </c>
      <c r="DH5" s="16"/>
      <c r="DI5" s="17"/>
      <c r="DJ5" s="81"/>
      <c r="DK5" s="30"/>
      <c r="DM5" s="15" t="s">
        <v>10</v>
      </c>
      <c r="DN5" s="16"/>
      <c r="DO5" s="17"/>
      <c r="DP5" s="81"/>
      <c r="DQ5" s="30"/>
      <c r="DS5" s="15" t="s">
        <v>11</v>
      </c>
      <c r="DT5" s="16"/>
      <c r="DU5" s="17"/>
      <c r="DV5" s="81"/>
      <c r="DW5" s="30"/>
      <c r="DY5" s="15" t="s">
        <v>12</v>
      </c>
      <c r="DZ5" s="16"/>
      <c r="EA5" s="17"/>
      <c r="EB5" s="81"/>
      <c r="EC5" s="30"/>
      <c r="EE5" s="18" t="s">
        <v>142</v>
      </c>
      <c r="EF5" s="16"/>
      <c r="EG5" s="17"/>
      <c r="EH5" s="81"/>
      <c r="EI5" s="30"/>
      <c r="EK5" s="15" t="s">
        <v>143</v>
      </c>
      <c r="EL5" s="16"/>
      <c r="EM5" s="17"/>
      <c r="EN5" s="81"/>
      <c r="EO5" s="30"/>
      <c r="EQ5" s="15" t="s">
        <v>144</v>
      </c>
      <c r="ER5" s="16"/>
      <c r="ES5" s="17"/>
      <c r="ET5" s="81"/>
      <c r="EU5" s="30"/>
      <c r="EW5" s="15" t="s">
        <v>145</v>
      </c>
      <c r="EX5" s="16"/>
      <c r="EY5" s="17"/>
      <c r="EZ5" s="81"/>
      <c r="FA5" s="30"/>
      <c r="FC5" s="18" t="s">
        <v>13</v>
      </c>
      <c r="FD5" s="16"/>
      <c r="FE5" s="17"/>
      <c r="FF5" s="81"/>
      <c r="FG5" s="30"/>
      <c r="FI5" s="18" t="s">
        <v>148</v>
      </c>
      <c r="FJ5" s="16"/>
      <c r="FK5" s="17"/>
      <c r="FL5" s="81"/>
      <c r="FM5" s="30"/>
      <c r="FO5" s="18" t="s">
        <v>146</v>
      </c>
      <c r="FP5" s="16"/>
      <c r="FQ5" s="17"/>
      <c r="FR5" s="81"/>
      <c r="FS5" s="30"/>
      <c r="FU5" s="18" t="s">
        <v>147</v>
      </c>
      <c r="FV5" s="16"/>
      <c r="FW5" s="17"/>
      <c r="FX5" s="81"/>
      <c r="FY5" s="30"/>
      <c r="GA5" s="18" t="s">
        <v>139</v>
      </c>
      <c r="GB5" s="16"/>
      <c r="GC5" s="17"/>
      <c r="GD5" s="81"/>
      <c r="GE5" s="30"/>
      <c r="GF5" s="19"/>
      <c r="GG5" s="18" t="s">
        <v>14</v>
      </c>
      <c r="GH5" s="16"/>
      <c r="GI5" s="17"/>
    </row>
    <row r="6" spans="1:191" s="8" customFormat="1" ht="12.75">
      <c r="A6" s="20" t="s">
        <v>15</v>
      </c>
      <c r="C6" s="40"/>
      <c r="D6" s="41" t="s">
        <v>179</v>
      </c>
      <c r="E6" s="13"/>
      <c r="F6" s="80" t="s">
        <v>174</v>
      </c>
      <c r="G6" s="30" t="s">
        <v>174</v>
      </c>
      <c r="H6" s="5"/>
      <c r="I6" s="21">
        <v>0.1422725</v>
      </c>
      <c r="J6" s="22">
        <v>0.223231</v>
      </c>
      <c r="K6" s="23"/>
      <c r="L6" s="80" t="s">
        <v>174</v>
      </c>
      <c r="M6" s="30" t="s">
        <v>174</v>
      </c>
      <c r="N6" s="5"/>
      <c r="O6" s="21">
        <f>AA6+AG6+AM6+AS6+AY6+BE6+BK6+BQ6+BW6+CC6+CI6+CO6+CU6+DG6+DM6+DS6+DY6+EE6+EK6+EQ6+EW6+FC6+FI6+FO6+FU6+GA6+GG6</f>
        <v>0.8577275</v>
      </c>
      <c r="P6" s="24">
        <f>V6+AB6+AH6+AN6+AT6+AZ6+BF6+BL6+BR6+BX6+CD6+CJ6+CP6+CV6+DH6+DN6+DT6+DZ6+EF6+EL6+ER6+EX6+FD6+FJ6+DB6+FP6+FV6+GB6</f>
        <v>0.7767690000000002</v>
      </c>
      <c r="Q6" s="23"/>
      <c r="R6" s="80" t="s">
        <v>174</v>
      </c>
      <c r="S6" s="30" t="s">
        <v>174</v>
      </c>
      <c r="T6" s="5"/>
      <c r="U6" s="25">
        <v>0</v>
      </c>
      <c r="V6" s="26">
        <v>0.0002172</v>
      </c>
      <c r="W6" s="23"/>
      <c r="X6" s="80" t="s">
        <v>174</v>
      </c>
      <c r="Y6" s="30" t="s">
        <v>174</v>
      </c>
      <c r="Z6" s="5"/>
      <c r="AA6" s="25">
        <v>0.0028932</v>
      </c>
      <c r="AB6" s="26">
        <v>0.0231145</v>
      </c>
      <c r="AC6" s="23"/>
      <c r="AD6" s="80" t="s">
        <v>174</v>
      </c>
      <c r="AE6" s="30" t="s">
        <v>174</v>
      </c>
      <c r="AF6" s="5"/>
      <c r="AG6" s="25">
        <v>0.0013944</v>
      </c>
      <c r="AH6" s="26">
        <v>0.0014183</v>
      </c>
      <c r="AI6" s="23"/>
      <c r="AJ6" s="80" t="s">
        <v>174</v>
      </c>
      <c r="AK6" s="30" t="s">
        <v>174</v>
      </c>
      <c r="AL6" s="5"/>
      <c r="AM6" s="25">
        <v>0.0093135</v>
      </c>
      <c r="AN6" s="26">
        <v>0.0102579</v>
      </c>
      <c r="AO6" s="23"/>
      <c r="AP6" s="80" t="s">
        <v>174</v>
      </c>
      <c r="AQ6" s="30" t="s">
        <v>174</v>
      </c>
      <c r="AR6" s="5"/>
      <c r="AS6" s="25">
        <v>0.0039354</v>
      </c>
      <c r="AT6" s="26">
        <v>0.0081136</v>
      </c>
      <c r="AU6" s="23"/>
      <c r="AV6" s="80" t="s">
        <v>174</v>
      </c>
      <c r="AW6" s="30" t="s">
        <v>174</v>
      </c>
      <c r="AX6" s="5"/>
      <c r="AY6" s="25">
        <v>0.0021448</v>
      </c>
      <c r="AZ6" s="26">
        <v>0.0021644</v>
      </c>
      <c r="BA6" s="23"/>
      <c r="BB6" s="80" t="s">
        <v>174</v>
      </c>
      <c r="BC6" s="30" t="s">
        <v>174</v>
      </c>
      <c r="BD6" s="5"/>
      <c r="BE6" s="25">
        <v>0.0242511</v>
      </c>
      <c r="BF6" s="26">
        <v>0.0244732</v>
      </c>
      <c r="BG6" s="23"/>
      <c r="BH6" s="80" t="s">
        <v>174</v>
      </c>
      <c r="BI6" s="30" t="s">
        <v>174</v>
      </c>
      <c r="BK6" s="25">
        <v>0.0004264</v>
      </c>
      <c r="BL6" s="26">
        <v>0.0004303</v>
      </c>
      <c r="BM6" s="23"/>
      <c r="BN6" s="80" t="s">
        <v>174</v>
      </c>
      <c r="BO6" s="30" t="s">
        <v>174</v>
      </c>
      <c r="BQ6" s="25">
        <v>9.1E-05</v>
      </c>
      <c r="BR6" s="26">
        <v>9.19E-05</v>
      </c>
      <c r="BS6" s="23"/>
      <c r="BT6" s="80" t="s">
        <v>174</v>
      </c>
      <c r="BU6" s="30" t="s">
        <v>174</v>
      </c>
      <c r="BV6" s="71"/>
      <c r="BW6" s="25">
        <v>0.0835219</v>
      </c>
      <c r="BX6" s="26">
        <v>0.087894</v>
      </c>
      <c r="BY6" s="23"/>
      <c r="BZ6" s="80" t="s">
        <v>174</v>
      </c>
      <c r="CA6" s="30" t="s">
        <v>174</v>
      </c>
      <c r="CC6" s="25">
        <v>0.000168</v>
      </c>
      <c r="CD6" s="26">
        <v>0.0001695</v>
      </c>
      <c r="CE6" s="23"/>
      <c r="CF6" s="80" t="s">
        <v>174</v>
      </c>
      <c r="CG6" s="30" t="s">
        <v>174</v>
      </c>
      <c r="CI6" s="25">
        <v>9.98E-05</v>
      </c>
      <c r="CJ6" s="26">
        <v>0.0001007</v>
      </c>
      <c r="CK6" s="23"/>
      <c r="CL6" s="80" t="s">
        <v>174</v>
      </c>
      <c r="CM6" s="30" t="s">
        <v>174</v>
      </c>
      <c r="CO6" s="25">
        <v>0.0062262</v>
      </c>
      <c r="CP6" s="26">
        <v>0.0062832</v>
      </c>
      <c r="CQ6" s="23"/>
      <c r="CR6" s="80" t="s">
        <v>174</v>
      </c>
      <c r="CS6" s="30" t="s">
        <v>174</v>
      </c>
      <c r="CU6" s="25">
        <v>3.24E-05</v>
      </c>
      <c r="CV6" s="26">
        <v>0.0006637</v>
      </c>
      <c r="CW6" s="23"/>
      <c r="CX6" s="80" t="s">
        <v>174</v>
      </c>
      <c r="CY6" s="30" t="s">
        <v>174</v>
      </c>
      <c r="DA6" s="25">
        <v>0</v>
      </c>
      <c r="DB6" s="26">
        <v>0.0018131</v>
      </c>
      <c r="DC6" s="23"/>
      <c r="DD6" s="80" t="s">
        <v>174</v>
      </c>
      <c r="DE6" s="30" t="s">
        <v>174</v>
      </c>
      <c r="DG6" s="25">
        <v>0.0122709</v>
      </c>
      <c r="DH6" s="26">
        <v>0.0177351</v>
      </c>
      <c r="DI6" s="23"/>
      <c r="DJ6" s="80" t="s">
        <v>174</v>
      </c>
      <c r="DK6" s="30" t="s">
        <v>174</v>
      </c>
      <c r="DM6" s="25">
        <v>5.78E-05</v>
      </c>
      <c r="DN6" s="26">
        <v>0.0024492</v>
      </c>
      <c r="DO6" s="23"/>
      <c r="DP6" s="80" t="s">
        <v>174</v>
      </c>
      <c r="DQ6" s="30" t="s">
        <v>174</v>
      </c>
      <c r="DS6" s="25">
        <v>0.0096951</v>
      </c>
      <c r="DT6" s="26">
        <v>0.009784</v>
      </c>
      <c r="DU6" s="23"/>
      <c r="DV6" s="80" t="s">
        <v>174</v>
      </c>
      <c r="DW6" s="30" t="s">
        <v>174</v>
      </c>
      <c r="DY6" s="25">
        <v>0.0662914</v>
      </c>
      <c r="DZ6" s="26">
        <v>0.078675</v>
      </c>
      <c r="EA6" s="23"/>
      <c r="EB6" s="80" t="s">
        <v>174</v>
      </c>
      <c r="EC6" s="30" t="s">
        <v>174</v>
      </c>
      <c r="EE6" s="25">
        <v>0.08456</v>
      </c>
      <c r="EF6" s="26">
        <v>0.1175335</v>
      </c>
      <c r="EG6" s="23"/>
      <c r="EH6" s="80" t="s">
        <v>174</v>
      </c>
      <c r="EI6" s="30" t="s">
        <v>174</v>
      </c>
      <c r="EK6" s="25">
        <v>0.0005018</v>
      </c>
      <c r="EL6" s="26">
        <v>0.0009796</v>
      </c>
      <c r="EM6" s="23"/>
      <c r="EN6" s="80" t="s">
        <v>174</v>
      </c>
      <c r="EO6" s="30" t="s">
        <v>174</v>
      </c>
      <c r="EQ6" s="25">
        <v>0.0224714</v>
      </c>
      <c r="ER6" s="26">
        <v>0.0375623</v>
      </c>
      <c r="ES6" s="23"/>
      <c r="ET6" s="80" t="s">
        <v>174</v>
      </c>
      <c r="EU6" s="30" t="s">
        <v>174</v>
      </c>
      <c r="EW6" s="25">
        <v>0.0498319</v>
      </c>
      <c r="EX6" s="26">
        <v>0.0626721</v>
      </c>
      <c r="EY6" s="23"/>
      <c r="EZ6" s="80" t="s">
        <v>174</v>
      </c>
      <c r="FA6" s="30" t="s">
        <v>174</v>
      </c>
      <c r="FC6" s="25">
        <v>0.0149322</v>
      </c>
      <c r="FD6" s="26">
        <v>0.0536561</v>
      </c>
      <c r="FE6" s="23"/>
      <c r="FF6" s="80" t="s">
        <v>174</v>
      </c>
      <c r="FG6" s="30" t="s">
        <v>174</v>
      </c>
      <c r="FI6" s="25">
        <v>0.0231774</v>
      </c>
      <c r="FJ6" s="26">
        <v>0.0532049</v>
      </c>
      <c r="FK6" s="23"/>
      <c r="FL6" s="80" t="s">
        <v>174</v>
      </c>
      <c r="FM6" s="30" t="s">
        <v>174</v>
      </c>
      <c r="FO6" s="25">
        <v>0.0657351</v>
      </c>
      <c r="FP6" s="26">
        <v>0.0771446</v>
      </c>
      <c r="FQ6" s="23"/>
      <c r="FR6" s="80" t="s">
        <v>174</v>
      </c>
      <c r="FS6" s="30" t="s">
        <v>174</v>
      </c>
      <c r="FU6" s="25">
        <v>0.0583439</v>
      </c>
      <c r="FV6" s="26">
        <v>0.0977162</v>
      </c>
      <c r="FW6" s="23"/>
      <c r="FX6" s="80" t="s">
        <v>174</v>
      </c>
      <c r="FY6" s="30" t="s">
        <v>174</v>
      </c>
      <c r="GA6" s="25">
        <v>0.000332</v>
      </c>
      <c r="GB6" s="26">
        <v>0.0004509</v>
      </c>
      <c r="GC6" s="23"/>
      <c r="GD6" s="80" t="s">
        <v>174</v>
      </c>
      <c r="GE6" s="30" t="s">
        <v>174</v>
      </c>
      <c r="GF6" s="27"/>
      <c r="GG6" s="25">
        <v>0.3150285</v>
      </c>
      <c r="GH6" s="26"/>
      <c r="GI6" s="28"/>
    </row>
    <row r="7" spans="1:191" ht="12.75">
      <c r="A7" s="29"/>
      <c r="C7" s="30" t="s">
        <v>16</v>
      </c>
      <c r="D7" s="30" t="s">
        <v>17</v>
      </c>
      <c r="E7" s="30" t="s">
        <v>18</v>
      </c>
      <c r="F7" s="30" t="s">
        <v>175</v>
      </c>
      <c r="G7" s="30" t="s">
        <v>180</v>
      </c>
      <c r="I7" s="30" t="s">
        <v>16</v>
      </c>
      <c r="J7" s="30" t="s">
        <v>17</v>
      </c>
      <c r="K7" s="30" t="s">
        <v>18</v>
      </c>
      <c r="L7" s="30" t="s">
        <v>175</v>
      </c>
      <c r="M7" s="30" t="s">
        <v>180</v>
      </c>
      <c r="O7" s="30" t="s">
        <v>16</v>
      </c>
      <c r="P7" s="30" t="s">
        <v>17</v>
      </c>
      <c r="Q7" s="30" t="s">
        <v>18</v>
      </c>
      <c r="R7" s="30" t="s">
        <v>175</v>
      </c>
      <c r="S7" s="30" t="s">
        <v>180</v>
      </c>
      <c r="U7" s="31" t="s">
        <v>16</v>
      </c>
      <c r="V7" s="31" t="s">
        <v>17</v>
      </c>
      <c r="W7" s="31" t="s">
        <v>18</v>
      </c>
      <c r="X7" s="30" t="s">
        <v>175</v>
      </c>
      <c r="Y7" s="30" t="s">
        <v>180</v>
      </c>
      <c r="AA7" s="31" t="s">
        <v>16</v>
      </c>
      <c r="AB7" s="31" t="s">
        <v>17</v>
      </c>
      <c r="AC7" s="31" t="s">
        <v>18</v>
      </c>
      <c r="AD7" s="30" t="s">
        <v>175</v>
      </c>
      <c r="AE7" s="30" t="s">
        <v>180</v>
      </c>
      <c r="AG7" s="31" t="s">
        <v>16</v>
      </c>
      <c r="AH7" s="31" t="s">
        <v>17</v>
      </c>
      <c r="AI7" s="31" t="s">
        <v>18</v>
      </c>
      <c r="AJ7" s="30" t="s">
        <v>175</v>
      </c>
      <c r="AK7" s="30" t="s">
        <v>180</v>
      </c>
      <c r="AM7" s="31" t="s">
        <v>16</v>
      </c>
      <c r="AN7" s="31" t="s">
        <v>17</v>
      </c>
      <c r="AO7" s="31" t="s">
        <v>18</v>
      </c>
      <c r="AP7" s="30" t="s">
        <v>175</v>
      </c>
      <c r="AQ7" s="30" t="s">
        <v>180</v>
      </c>
      <c r="AS7" s="31" t="s">
        <v>16</v>
      </c>
      <c r="AT7" s="31" t="s">
        <v>17</v>
      </c>
      <c r="AU7" s="31" t="s">
        <v>18</v>
      </c>
      <c r="AV7" s="30" t="s">
        <v>175</v>
      </c>
      <c r="AW7" s="30" t="s">
        <v>180</v>
      </c>
      <c r="AY7" s="31" t="s">
        <v>16</v>
      </c>
      <c r="AZ7" s="31" t="s">
        <v>17</v>
      </c>
      <c r="BA7" s="31" t="s">
        <v>18</v>
      </c>
      <c r="BB7" s="30" t="s">
        <v>175</v>
      </c>
      <c r="BC7" s="30" t="s">
        <v>180</v>
      </c>
      <c r="BE7" s="31" t="s">
        <v>16</v>
      </c>
      <c r="BF7" s="31" t="s">
        <v>17</v>
      </c>
      <c r="BG7" s="31" t="s">
        <v>18</v>
      </c>
      <c r="BH7" s="30" t="s">
        <v>175</v>
      </c>
      <c r="BI7" s="30" t="s">
        <v>180</v>
      </c>
      <c r="BK7" s="31" t="s">
        <v>16</v>
      </c>
      <c r="BL7" s="31" t="s">
        <v>17</v>
      </c>
      <c r="BM7" s="31" t="s">
        <v>18</v>
      </c>
      <c r="BN7" s="30" t="s">
        <v>175</v>
      </c>
      <c r="BO7" s="30" t="s">
        <v>180</v>
      </c>
      <c r="BQ7" s="31" t="s">
        <v>16</v>
      </c>
      <c r="BR7" s="31" t="s">
        <v>17</v>
      </c>
      <c r="BS7" s="31" t="s">
        <v>18</v>
      </c>
      <c r="BT7" s="30" t="s">
        <v>175</v>
      </c>
      <c r="BU7" s="30" t="s">
        <v>180</v>
      </c>
      <c r="BV7" s="32"/>
      <c r="BW7" s="31" t="s">
        <v>16</v>
      </c>
      <c r="BX7" s="31" t="s">
        <v>17</v>
      </c>
      <c r="BY7" s="31" t="s">
        <v>18</v>
      </c>
      <c r="BZ7" s="30" t="s">
        <v>175</v>
      </c>
      <c r="CA7" s="30" t="s">
        <v>180</v>
      </c>
      <c r="CC7" s="31" t="s">
        <v>16</v>
      </c>
      <c r="CD7" s="31" t="s">
        <v>17</v>
      </c>
      <c r="CE7" s="31" t="s">
        <v>18</v>
      </c>
      <c r="CF7" s="30" t="s">
        <v>175</v>
      </c>
      <c r="CG7" s="30" t="s">
        <v>180</v>
      </c>
      <c r="CI7" s="31" t="s">
        <v>16</v>
      </c>
      <c r="CJ7" s="31" t="s">
        <v>17</v>
      </c>
      <c r="CK7" s="31" t="s">
        <v>18</v>
      </c>
      <c r="CL7" s="30" t="s">
        <v>175</v>
      </c>
      <c r="CM7" s="30" t="s">
        <v>180</v>
      </c>
      <c r="CO7" s="31" t="s">
        <v>16</v>
      </c>
      <c r="CP7" s="31" t="s">
        <v>17</v>
      </c>
      <c r="CQ7" s="31" t="s">
        <v>18</v>
      </c>
      <c r="CR7" s="30" t="s">
        <v>175</v>
      </c>
      <c r="CS7" s="30" t="s">
        <v>180</v>
      </c>
      <c r="CU7" s="31" t="s">
        <v>16</v>
      </c>
      <c r="CV7" s="31" t="s">
        <v>17</v>
      </c>
      <c r="CW7" s="31" t="s">
        <v>18</v>
      </c>
      <c r="CX7" s="30" t="s">
        <v>175</v>
      </c>
      <c r="CY7" s="30" t="s">
        <v>180</v>
      </c>
      <c r="DA7" s="31" t="s">
        <v>16</v>
      </c>
      <c r="DB7" s="31" t="s">
        <v>17</v>
      </c>
      <c r="DC7" s="31" t="s">
        <v>18</v>
      </c>
      <c r="DD7" s="30" t="s">
        <v>175</v>
      </c>
      <c r="DE7" s="30" t="s">
        <v>180</v>
      </c>
      <c r="DG7" s="31" t="s">
        <v>16</v>
      </c>
      <c r="DH7" s="31" t="s">
        <v>17</v>
      </c>
      <c r="DI7" s="31" t="s">
        <v>18</v>
      </c>
      <c r="DJ7" s="30" t="s">
        <v>175</v>
      </c>
      <c r="DK7" s="30" t="s">
        <v>180</v>
      </c>
      <c r="DM7" s="31" t="s">
        <v>16</v>
      </c>
      <c r="DN7" s="31" t="s">
        <v>17</v>
      </c>
      <c r="DO7" s="31" t="s">
        <v>18</v>
      </c>
      <c r="DP7" s="30" t="s">
        <v>175</v>
      </c>
      <c r="DQ7" s="30" t="s">
        <v>180</v>
      </c>
      <c r="DS7" s="31" t="s">
        <v>16</v>
      </c>
      <c r="DT7" s="31" t="s">
        <v>17</v>
      </c>
      <c r="DU7" s="31" t="s">
        <v>18</v>
      </c>
      <c r="DV7" s="30" t="s">
        <v>175</v>
      </c>
      <c r="DW7" s="30" t="s">
        <v>180</v>
      </c>
      <c r="DY7" s="31" t="s">
        <v>16</v>
      </c>
      <c r="DZ7" s="31" t="s">
        <v>17</v>
      </c>
      <c r="EA7" s="31" t="s">
        <v>18</v>
      </c>
      <c r="EB7" s="30" t="s">
        <v>175</v>
      </c>
      <c r="EC7" s="30" t="s">
        <v>180</v>
      </c>
      <c r="EE7" s="31" t="s">
        <v>16</v>
      </c>
      <c r="EF7" s="31" t="s">
        <v>17</v>
      </c>
      <c r="EG7" s="31" t="s">
        <v>18</v>
      </c>
      <c r="EH7" s="30" t="s">
        <v>175</v>
      </c>
      <c r="EI7" s="30" t="s">
        <v>180</v>
      </c>
      <c r="EK7" s="31" t="s">
        <v>16</v>
      </c>
      <c r="EL7" s="31" t="s">
        <v>17</v>
      </c>
      <c r="EM7" s="31" t="s">
        <v>18</v>
      </c>
      <c r="EN7" s="30" t="s">
        <v>175</v>
      </c>
      <c r="EO7" s="30" t="s">
        <v>180</v>
      </c>
      <c r="EQ7" s="31" t="s">
        <v>16</v>
      </c>
      <c r="ER7" s="31" t="s">
        <v>17</v>
      </c>
      <c r="ES7" s="31" t="s">
        <v>18</v>
      </c>
      <c r="ET7" s="30" t="s">
        <v>175</v>
      </c>
      <c r="EU7" s="30" t="s">
        <v>180</v>
      </c>
      <c r="EW7" s="31" t="s">
        <v>16</v>
      </c>
      <c r="EX7" s="31" t="s">
        <v>17</v>
      </c>
      <c r="EY7" s="31" t="s">
        <v>18</v>
      </c>
      <c r="EZ7" s="30" t="s">
        <v>175</v>
      </c>
      <c r="FA7" s="30" t="s">
        <v>180</v>
      </c>
      <c r="FC7" s="31" t="s">
        <v>16</v>
      </c>
      <c r="FD7" s="31" t="s">
        <v>17</v>
      </c>
      <c r="FE7" s="31" t="s">
        <v>18</v>
      </c>
      <c r="FF7" s="30" t="s">
        <v>175</v>
      </c>
      <c r="FG7" s="30" t="s">
        <v>180</v>
      </c>
      <c r="FI7" s="31" t="s">
        <v>16</v>
      </c>
      <c r="FJ7" s="31" t="s">
        <v>17</v>
      </c>
      <c r="FK7" s="31" t="s">
        <v>18</v>
      </c>
      <c r="FL7" s="30" t="s">
        <v>175</v>
      </c>
      <c r="FM7" s="30" t="s">
        <v>180</v>
      </c>
      <c r="FO7" s="31" t="s">
        <v>16</v>
      </c>
      <c r="FP7" s="31" t="s">
        <v>17</v>
      </c>
      <c r="FQ7" s="31" t="s">
        <v>18</v>
      </c>
      <c r="FR7" s="30" t="s">
        <v>175</v>
      </c>
      <c r="FS7" s="30" t="s">
        <v>180</v>
      </c>
      <c r="FU7" s="31" t="s">
        <v>16</v>
      </c>
      <c r="FV7" s="31" t="s">
        <v>17</v>
      </c>
      <c r="FW7" s="31" t="s">
        <v>18</v>
      </c>
      <c r="FX7" s="30" t="s">
        <v>175</v>
      </c>
      <c r="FY7" s="30" t="s">
        <v>180</v>
      </c>
      <c r="GA7" s="31" t="s">
        <v>16</v>
      </c>
      <c r="GB7" s="31" t="s">
        <v>17</v>
      </c>
      <c r="GC7" s="31" t="s">
        <v>18</v>
      </c>
      <c r="GD7" s="30" t="s">
        <v>175</v>
      </c>
      <c r="GE7" s="30" t="s">
        <v>180</v>
      </c>
      <c r="GF7" s="32"/>
      <c r="GG7" s="31" t="s">
        <v>16</v>
      </c>
      <c r="GH7" s="31" t="s">
        <v>17</v>
      </c>
      <c r="GI7" s="31" t="s">
        <v>18</v>
      </c>
    </row>
    <row r="8" spans="1:230" ht="12.75">
      <c r="A8" s="36">
        <v>44835</v>
      </c>
      <c r="D8" s="3">
        <v>1136250</v>
      </c>
      <c r="E8" s="34">
        <f aca="true" t="shared" si="0" ref="E8:E23">C8+D8</f>
        <v>1136250</v>
      </c>
      <c r="F8" s="34">
        <v>522689</v>
      </c>
      <c r="G8" s="34">
        <v>5431</v>
      </c>
      <c r="I8" s="35">
        <f>'2019C Academic'!I8</f>
        <v>0</v>
      </c>
      <c r="J8" s="35">
        <f>'2019C Academic'!J8</f>
        <v>253646.22375000003</v>
      </c>
      <c r="K8" s="35">
        <f aca="true" t="shared" si="1" ref="K8:K23">I8+J8</f>
        <v>253646.22375000003</v>
      </c>
      <c r="L8" s="35">
        <f>'2019C Academic'!L8</f>
        <v>116680.38815900001</v>
      </c>
      <c r="M8" s="35">
        <f>'2019C Academic'!M8</f>
        <v>1212.3675610000003</v>
      </c>
      <c r="O8" s="35"/>
      <c r="P8" s="34">
        <f aca="true" t="shared" si="2" ref="P8:P23">V8+AB8+AH8+AN8+AT8+AZ8+BF8+BL8+BR8+BX8+CD8+CJ8+CP8+CV8+DH8+DN8+DT8+DZ8+EF8+EL8+ER8+EX8+FD8+FJ8+DB8+FP8+FV8+GB8+GH8</f>
        <v>882603.7762499999</v>
      </c>
      <c r="Q8" s="5">
        <f aca="true" t="shared" si="3" ref="Q8:Q23">O8+P8</f>
        <v>882603.7762499999</v>
      </c>
      <c r="R8" s="34">
        <f aca="true" t="shared" si="4" ref="R8:S23">X8+AD8+AJ8+AP8+AV8+BB8+BH8+BN8+BT8+BZ8+CF8+CL8+CR8+CX8+DJ8+DP8+DV8+EB8+EH8+EN8+ET8+EZ8+FF8+FL8+DD8+FR8+FX8+GD8+GJ8</f>
        <v>406008.61184100003</v>
      </c>
      <c r="S8" s="34">
        <f t="shared" si="4"/>
        <v>4218.1333301</v>
      </c>
      <c r="U8" s="35"/>
      <c r="V8" s="35">
        <f aca="true" t="shared" si="5" ref="V8:V23">$D8*V$6</f>
        <v>246.7935</v>
      </c>
      <c r="W8" s="5">
        <f aca="true" t="shared" si="6" ref="W8:W23">U8+V8</f>
        <v>246.7935</v>
      </c>
      <c r="X8" s="35">
        <f aca="true" t="shared" si="7" ref="X8:X23">$F8*V$6</f>
        <v>113.5280508</v>
      </c>
      <c r="Y8" s="35">
        <f aca="true" t="shared" si="8" ref="Y8:Y23">$G8*V$6</f>
        <v>1.1796132</v>
      </c>
      <c r="AA8" s="35"/>
      <c r="AB8" s="35">
        <f aca="true" t="shared" si="9" ref="AB8:AB23">$D8*AB$6</f>
        <v>26263.850625</v>
      </c>
      <c r="AC8" s="5">
        <f aca="true" t="shared" si="10" ref="AC8:AC23">AA8+AB8</f>
        <v>26263.850625</v>
      </c>
      <c r="AD8" s="35">
        <f aca="true" t="shared" si="11" ref="AD8:AD23">$F8*AB$6</f>
        <v>12081.694890499999</v>
      </c>
      <c r="AE8" s="35">
        <f aca="true" t="shared" si="12" ref="AE8:AE23">$G8*AB$6</f>
        <v>125.53484949999999</v>
      </c>
      <c r="AG8" s="35"/>
      <c r="AH8" s="35">
        <f aca="true" t="shared" si="13" ref="AH8:AH23">$D8*AH$6</f>
        <v>1611.543375</v>
      </c>
      <c r="AI8" s="35">
        <f aca="true" t="shared" si="14" ref="AI8:AI23">AG8+AH8</f>
        <v>1611.543375</v>
      </c>
      <c r="AJ8" s="35">
        <f aca="true" t="shared" si="15" ref="AJ8:AJ23">$F8*AH$6</f>
        <v>741.3298087</v>
      </c>
      <c r="AK8" s="35">
        <f aca="true" t="shared" si="16" ref="AK8:AK23">$G8*AH$6</f>
        <v>7.7027873</v>
      </c>
      <c r="AM8" s="35"/>
      <c r="AN8" s="35">
        <f aca="true" t="shared" si="17" ref="AN8:AN23">$D8*AN$6</f>
        <v>11655.538875</v>
      </c>
      <c r="AO8" s="5">
        <f aca="true" t="shared" si="18" ref="AO8:AO23">AM8+AN8</f>
        <v>11655.538875</v>
      </c>
      <c r="AP8" s="35">
        <f aca="true" t="shared" si="19" ref="AP8:AP23">$F8*AN$6</f>
        <v>5361.6914931</v>
      </c>
      <c r="AQ8" s="35">
        <f aca="true" t="shared" si="20" ref="AQ8:AQ23">$G8*AN$6</f>
        <v>55.7106549</v>
      </c>
      <c r="AS8" s="35"/>
      <c r="AT8" s="35">
        <f aca="true" t="shared" si="21" ref="AT8:AT23">$D8*AT$6</f>
        <v>9219.078</v>
      </c>
      <c r="AU8" s="5">
        <f aca="true" t="shared" si="22" ref="AU8:AU23">AS8+AT8</f>
        <v>9219.078</v>
      </c>
      <c r="AV8" s="35">
        <f aca="true" t="shared" si="23" ref="AV8:AV23">$F8*AT$6</f>
        <v>4240.8894704</v>
      </c>
      <c r="AW8" s="35">
        <f aca="true" t="shared" si="24" ref="AW8:AW23">$G8*AT$6</f>
        <v>44.064961600000004</v>
      </c>
      <c r="AY8" s="35"/>
      <c r="AZ8" s="35">
        <f aca="true" t="shared" si="25" ref="AZ8:AZ23">$D8*AZ$6</f>
        <v>2459.2995</v>
      </c>
      <c r="BA8" s="5">
        <f aca="true" t="shared" si="26" ref="BA8:BA23">AY8+AZ8</f>
        <v>2459.2995</v>
      </c>
      <c r="BB8" s="35">
        <f aca="true" t="shared" si="27" ref="BB8:BB23">$F8*AZ$6</f>
        <v>1131.3080716</v>
      </c>
      <c r="BC8" s="35">
        <f aca="true" t="shared" si="28" ref="BC8:BC23">$G8*AZ$6</f>
        <v>11.7548564</v>
      </c>
      <c r="BE8" s="35"/>
      <c r="BF8" s="35">
        <f aca="true" t="shared" si="29" ref="BF8:BF23">$D8*BF$6</f>
        <v>27807.6735</v>
      </c>
      <c r="BG8" s="5">
        <f aca="true" t="shared" si="30" ref="BG8:BG23">BE8+BF8</f>
        <v>27807.6735</v>
      </c>
      <c r="BH8" s="35">
        <f aca="true" t="shared" si="31" ref="BH8:BH23">$F8*BF$6</f>
        <v>12791.8724348</v>
      </c>
      <c r="BI8" s="35">
        <f aca="true" t="shared" si="32" ref="BI8:BI23">$G8*BF$6</f>
        <v>132.9139492</v>
      </c>
      <c r="BJ8" s="5"/>
      <c r="BK8" s="35"/>
      <c r="BL8" s="35">
        <f aca="true" t="shared" si="33" ref="BL8:BL23">$D8*BL$6</f>
        <v>488.928375</v>
      </c>
      <c r="BM8" s="5">
        <f aca="true" t="shared" si="34" ref="BM8:BM23">BK8+BL8</f>
        <v>488.928375</v>
      </c>
      <c r="BN8" s="35">
        <f aca="true" t="shared" si="35" ref="BN8:BN23">$F8*BL$6</f>
        <v>224.9130767</v>
      </c>
      <c r="BO8" s="35">
        <f aca="true" t="shared" si="36" ref="BO8:BO23">$G8*BL$6</f>
        <v>2.3369593</v>
      </c>
      <c r="BP8" s="5"/>
      <c r="BQ8" s="35"/>
      <c r="BR8" s="35">
        <f aca="true" t="shared" si="37" ref="BR8:BR23">$D8*BR$6</f>
        <v>104.421375</v>
      </c>
      <c r="BS8" s="5">
        <f aca="true" t="shared" si="38" ref="BS8:BS23">BQ8+BR8</f>
        <v>104.421375</v>
      </c>
      <c r="BT8" s="35">
        <f aca="true" t="shared" si="39" ref="BT8:BT23">$F8*BR$6</f>
        <v>48.035119099999996</v>
      </c>
      <c r="BU8" s="35"/>
      <c r="BV8" s="5"/>
      <c r="BW8" s="35"/>
      <c r="BX8" s="35">
        <f aca="true" t="shared" si="40" ref="BX8:BX23">$D8*BX$6</f>
        <v>99869.5575</v>
      </c>
      <c r="BY8" s="5">
        <f aca="true" t="shared" si="41" ref="BY8:BY23">BW8+BX8</f>
        <v>99869.5575</v>
      </c>
      <c r="BZ8" s="35">
        <f aca="true" t="shared" si="42" ref="BZ8:BZ23">$F8*BX$6</f>
        <v>45941.226966</v>
      </c>
      <c r="CA8" s="35">
        <f aca="true" t="shared" si="43" ref="CA8:CA23">$G8*BX$6</f>
        <v>477.352314</v>
      </c>
      <c r="CB8" s="5"/>
      <c r="CC8" s="35"/>
      <c r="CD8" s="35">
        <f aca="true" t="shared" si="44" ref="CD8:CD23">$D8*CD$6</f>
        <v>192.594375</v>
      </c>
      <c r="CE8" s="5">
        <f aca="true" t="shared" si="45" ref="CE8:CE23">CC8+CD8</f>
        <v>192.594375</v>
      </c>
      <c r="CF8" s="35">
        <f aca="true" t="shared" si="46" ref="CF8:CF23">$F8*CD$6</f>
        <v>88.5957855</v>
      </c>
      <c r="CG8" s="35">
        <f aca="true" t="shared" si="47" ref="CG8:CG23">$G8*CD$6</f>
        <v>0.9205545</v>
      </c>
      <c r="CH8" s="5"/>
      <c r="CI8" s="35"/>
      <c r="CJ8" s="35">
        <f aca="true" t="shared" si="48" ref="CJ8:CJ23">$D8*CJ$6</f>
        <v>114.42037499999999</v>
      </c>
      <c r="CK8" s="5">
        <f aca="true" t="shared" si="49" ref="CK8:CK23">CI8+CJ8</f>
        <v>114.42037499999999</v>
      </c>
      <c r="CL8" s="35">
        <f aca="true" t="shared" si="50" ref="CL8:CL23">$F8*CJ$6</f>
        <v>52.6347823</v>
      </c>
      <c r="CM8" s="35">
        <f aca="true" t="shared" si="51" ref="CM8:CM23">$G8*CJ$6</f>
        <v>0.5469016999999999</v>
      </c>
      <c r="CN8" s="5"/>
      <c r="CO8" s="35"/>
      <c r="CP8" s="35">
        <f aca="true" t="shared" si="52" ref="CP8:CP23">$D8*CP$6</f>
        <v>7139.286</v>
      </c>
      <c r="CQ8" s="5">
        <f aca="true" t="shared" si="53" ref="CQ8:CQ23">CO8+CP8</f>
        <v>7139.286</v>
      </c>
      <c r="CR8" s="35">
        <f aca="true" t="shared" si="54" ref="CR8:CR23">$F8*CP$6</f>
        <v>3284.1595248</v>
      </c>
      <c r="CS8" s="35">
        <f aca="true" t="shared" si="55" ref="CS8:CS23">$G8*CP$6</f>
        <v>34.1240592</v>
      </c>
      <c r="CT8" s="5"/>
      <c r="CU8" s="35"/>
      <c r="CV8" s="35">
        <f aca="true" t="shared" si="56" ref="CV8:CV23">$D8*CV$6</f>
        <v>754.129125</v>
      </c>
      <c r="CW8" s="5">
        <f aca="true" t="shared" si="57" ref="CW8:CW23">CU8+CV8</f>
        <v>754.129125</v>
      </c>
      <c r="CX8" s="35">
        <f aca="true" t="shared" si="58" ref="CX8:CX23">$F8*CV$6</f>
        <v>346.9086893</v>
      </c>
      <c r="CY8" s="35">
        <f aca="true" t="shared" si="59" ref="CY8:CY23">$G8*CV$6</f>
        <v>3.6045547</v>
      </c>
      <c r="CZ8" s="5"/>
      <c r="DA8" s="35"/>
      <c r="DB8" s="35">
        <f aca="true" t="shared" si="60" ref="DB8:DB23">$D8*DB$6</f>
        <v>2060.134875</v>
      </c>
      <c r="DC8" s="5">
        <f aca="true" t="shared" si="61" ref="DC8:DC23">DA8+DB8</f>
        <v>2060.134875</v>
      </c>
      <c r="DD8" s="35">
        <f aca="true" t="shared" si="62" ref="DD8:DD23">$F8*DB$6</f>
        <v>947.6874259</v>
      </c>
      <c r="DE8" s="35">
        <f aca="true" t="shared" si="63" ref="DE8:DE23">$G8*DB$6</f>
        <v>9.8469461</v>
      </c>
      <c r="DF8" s="5"/>
      <c r="DG8" s="35"/>
      <c r="DH8" s="35">
        <f aca="true" t="shared" si="64" ref="DH8:DH23">$D8*DH$6</f>
        <v>20151.507375</v>
      </c>
      <c r="DI8" s="35">
        <f aca="true" t="shared" si="65" ref="DI8:DI23">DG8+DH8</f>
        <v>20151.507375</v>
      </c>
      <c r="DJ8" s="35">
        <f aca="true" t="shared" si="66" ref="DJ8:DJ23">$F8*DH$6</f>
        <v>9269.9416839</v>
      </c>
      <c r="DK8" s="35">
        <f aca="true" t="shared" si="67" ref="DK8:DK23">$G8*DH$6</f>
        <v>96.3193281</v>
      </c>
      <c r="DL8" s="5"/>
      <c r="DM8" s="35"/>
      <c r="DN8" s="35">
        <f aca="true" t="shared" si="68" ref="DN8:DN23">$D8*DN$6</f>
        <v>2782.9035</v>
      </c>
      <c r="DO8" s="35">
        <f aca="true" t="shared" si="69" ref="DO8:DO23">DM8+DN8</f>
        <v>2782.9035</v>
      </c>
      <c r="DP8" s="35">
        <f aca="true" t="shared" si="70" ref="DP8:DP23">$F8*DN$6</f>
        <v>1280.1698988</v>
      </c>
      <c r="DQ8" s="35">
        <f aca="true" t="shared" si="71" ref="DQ8:DQ23">$G8*DN$6</f>
        <v>13.3016052</v>
      </c>
      <c r="DR8" s="5"/>
      <c r="DS8" s="35"/>
      <c r="DT8" s="35">
        <f aca="true" t="shared" si="72" ref="DT8:DT23">$D8*DT$6</f>
        <v>11117.07</v>
      </c>
      <c r="DU8" s="5">
        <f aca="true" t="shared" si="73" ref="DU8:DU23">DS8+DT8</f>
        <v>11117.07</v>
      </c>
      <c r="DV8" s="35">
        <f aca="true" t="shared" si="74" ref="DV8:DV23">$F8*DT$6</f>
        <v>5113.989176</v>
      </c>
      <c r="DW8" s="35">
        <f aca="true" t="shared" si="75" ref="DW8:DW23">$G8*DT$6</f>
        <v>53.136903999999994</v>
      </c>
      <c r="DX8" s="5"/>
      <c r="DY8" s="35"/>
      <c r="DZ8" s="35">
        <f aca="true" t="shared" si="76" ref="DZ8:DZ23">$D8*DZ$6</f>
        <v>89394.46875</v>
      </c>
      <c r="EA8" s="35">
        <f aca="true" t="shared" si="77" ref="EA8:EA23">DY8+DZ8</f>
        <v>89394.46875</v>
      </c>
      <c r="EB8" s="35">
        <f aca="true" t="shared" si="78" ref="EB8:EB23">$F8*DZ$6</f>
        <v>41122.557075</v>
      </c>
      <c r="EC8" s="35">
        <f aca="true" t="shared" si="79" ref="EC8:EC23">$G8*DZ$6</f>
        <v>427.28392499999995</v>
      </c>
      <c r="ED8" s="5"/>
      <c r="EE8" s="35"/>
      <c r="EF8" s="35">
        <f aca="true" t="shared" si="80" ref="EF8:EF23">$D8*EF$6</f>
        <v>133547.439375</v>
      </c>
      <c r="EG8" s="5">
        <f aca="true" t="shared" si="81" ref="EG8:EG23">EE8+EF8</f>
        <v>133547.439375</v>
      </c>
      <c r="EH8" s="35">
        <f aca="true" t="shared" si="82" ref="EH8:EH23">$F8*EF$6</f>
        <v>61433.4675815</v>
      </c>
      <c r="EI8" s="35">
        <f aca="true" t="shared" si="83" ref="EI8:EI23">$G8*EF$6</f>
        <v>638.3244385</v>
      </c>
      <c r="EJ8" s="5"/>
      <c r="EK8" s="35"/>
      <c r="EL8" s="35">
        <f aca="true" t="shared" si="84" ref="EL8:EL23">$D8*EL$6</f>
        <v>1113.0705</v>
      </c>
      <c r="EM8" s="5">
        <f aca="true" t="shared" si="85" ref="EM8:EM23">EK8+EL8</f>
        <v>1113.0705</v>
      </c>
      <c r="EN8" s="35">
        <f aca="true" t="shared" si="86" ref="EN8:EN23">$F8*EL$6</f>
        <v>512.0261444</v>
      </c>
      <c r="EO8" s="35">
        <f aca="true" t="shared" si="87" ref="EO8:EO23">$G8*EL$6</f>
        <v>5.3202076</v>
      </c>
      <c r="EP8" s="5"/>
      <c r="EQ8" s="35"/>
      <c r="ER8" s="35">
        <f aca="true" t="shared" si="88" ref="ER8:ER23">$D8*ER$6</f>
        <v>42680.163375</v>
      </c>
      <c r="ES8" s="5">
        <f aca="true" t="shared" si="89" ref="ES8:ES23">EQ8+ER8</f>
        <v>42680.163375</v>
      </c>
      <c r="ET8" s="35">
        <f aca="true" t="shared" si="90" ref="ET8:ET23">$F8*ER$6</f>
        <v>19633.4010247</v>
      </c>
      <c r="EU8" s="35">
        <f aca="true" t="shared" si="91" ref="EU8:EU23">$G8*ER$6</f>
        <v>204.0008513</v>
      </c>
      <c r="EV8" s="5"/>
      <c r="EW8" s="35"/>
      <c r="EX8" s="35">
        <f aca="true" t="shared" si="92" ref="EX8:EX23">$D8*EX$6</f>
        <v>71211.173625</v>
      </c>
      <c r="EY8" s="5">
        <f aca="true" t="shared" si="93" ref="EY8:EY23">EW8+EX8</f>
        <v>71211.173625</v>
      </c>
      <c r="EZ8" s="35">
        <f aca="true" t="shared" si="94" ref="EZ8:EZ23">$F8*EX$6</f>
        <v>32758.0172769</v>
      </c>
      <c r="FA8" s="35">
        <f aca="true" t="shared" si="95" ref="FA8:FA23">$G8*EX$6</f>
        <v>340.3721751</v>
      </c>
      <c r="FB8" s="5"/>
      <c r="FC8" s="35"/>
      <c r="FD8" s="35">
        <f aca="true" t="shared" si="96" ref="FD8:FD23">$D8*FD$6</f>
        <v>60966.743624999996</v>
      </c>
      <c r="FE8" s="5">
        <f aca="true" t="shared" si="97" ref="FE8:FE23">FC8+FD8</f>
        <v>60966.743624999996</v>
      </c>
      <c r="FF8" s="35">
        <f aca="true" t="shared" si="98" ref="FF8:FF23">$F8*FD$6</f>
        <v>28045.4532529</v>
      </c>
      <c r="FG8" s="35">
        <f aca="true" t="shared" si="99" ref="FG8:FG23">$G8*FD$6</f>
        <v>291.4062791</v>
      </c>
      <c r="FH8" s="5"/>
      <c r="FI8" s="35"/>
      <c r="FJ8" s="35">
        <f aca="true" t="shared" si="100" ref="FJ8:FJ23">$D8*FJ$6</f>
        <v>60454.067624999996</v>
      </c>
      <c r="FK8" s="5">
        <f aca="true" t="shared" si="101" ref="FK8:FK23">FI8+FJ8</f>
        <v>60454.067624999996</v>
      </c>
      <c r="FL8" s="35">
        <f aca="true" t="shared" si="102" ref="FL8:FL23">$F8*FJ$6</f>
        <v>27809.615976099998</v>
      </c>
      <c r="FM8" s="35">
        <f aca="true" t="shared" si="103" ref="FM8:FM23">$G8*FJ$6</f>
        <v>288.9558119</v>
      </c>
      <c r="FN8" s="5"/>
      <c r="FO8" s="35"/>
      <c r="FP8" s="35">
        <f aca="true" t="shared" si="104" ref="FP8:FP23">$D8*FP$6</f>
        <v>87655.55175</v>
      </c>
      <c r="FQ8" s="35">
        <f aca="true" t="shared" si="105" ref="FQ8:FQ23">FO8+FP8</f>
        <v>87655.55175</v>
      </c>
      <c r="FR8" s="35">
        <f aca="true" t="shared" si="106" ref="FR8:FR23">$F8*FP$6</f>
        <v>40322.633829399994</v>
      </c>
      <c r="FS8" s="35">
        <f aca="true" t="shared" si="107" ref="FS8:FS23">$G8*FP$6</f>
        <v>418.9723226</v>
      </c>
      <c r="FT8" s="5"/>
      <c r="FU8" s="35"/>
      <c r="FV8" s="35">
        <f aca="true" t="shared" si="108" ref="FV8:FV23">$D8*FV$6</f>
        <v>111030.03225</v>
      </c>
      <c r="FW8" s="35">
        <f aca="true" t="shared" si="109" ref="FW8:FW23">FU8+FV8</f>
        <v>111030.03225</v>
      </c>
      <c r="FX8" s="35">
        <f aca="true" t="shared" si="110" ref="FX8:FX23">$F8*FV$6</f>
        <v>51075.1828618</v>
      </c>
      <c r="FY8" s="35">
        <f aca="true" t="shared" si="111" ref="FY8:FY23">$G8*FV$6</f>
        <v>530.6966822</v>
      </c>
      <c r="FZ8" s="5"/>
      <c r="GA8" s="35"/>
      <c r="GB8" s="35">
        <f aca="true" t="shared" si="112" ref="GB8:GB23">$D8*GB$6</f>
        <v>512.3351250000001</v>
      </c>
      <c r="GC8" s="5">
        <f aca="true" t="shared" si="113" ref="GC8:GC23">GA8+GB8</f>
        <v>512.3351250000001</v>
      </c>
      <c r="GD8" s="35">
        <f aca="true" t="shared" si="114" ref="GD8:GD23">$F8*GB$6</f>
        <v>235.6804701</v>
      </c>
      <c r="GE8" s="35">
        <f aca="true" t="shared" si="115" ref="GE8:GE23">$G8*GB$6</f>
        <v>2.4488379</v>
      </c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</row>
    <row r="9" spans="1:230" ht="12.75">
      <c r="A9" s="36">
        <v>45017</v>
      </c>
      <c r="C9" s="3">
        <v>5240000</v>
      </c>
      <c r="D9" s="3">
        <v>1136250</v>
      </c>
      <c r="E9" s="34">
        <f t="shared" si="0"/>
        <v>6376250</v>
      </c>
      <c r="F9" s="34">
        <v>522689</v>
      </c>
      <c r="G9" s="34">
        <v>5431</v>
      </c>
      <c r="I9" s="35">
        <f>'2019C Academic'!I9</f>
        <v>1169730.44</v>
      </c>
      <c r="J9" s="35">
        <f>'2019C Academic'!J9</f>
        <v>253646.22375000003</v>
      </c>
      <c r="K9" s="35">
        <f t="shared" si="1"/>
        <v>1423376.66375</v>
      </c>
      <c r="L9" s="35">
        <f>'2019C Academic'!L9</f>
        <v>116680.38815900001</v>
      </c>
      <c r="M9" s="35">
        <f>'2019C Academic'!M9</f>
        <v>1212.3675610000003</v>
      </c>
      <c r="O9" s="35">
        <f>U9+AA9+AG9+AM9+AS9+AY9+BE9+BK9+BQ9+BW9+CC9+CI9+CO9+CU9+DG9+DM9+DS9+DY9+EE9+EK9+EQ9+EW9+FC9+FI9+DA9+FO9+FU9+GA9+GG9</f>
        <v>4070269.5599999996</v>
      </c>
      <c r="P9" s="34">
        <f t="shared" si="2"/>
        <v>882603.7762499999</v>
      </c>
      <c r="Q9" s="5">
        <f t="shared" si="3"/>
        <v>4952873.33625</v>
      </c>
      <c r="R9" s="34">
        <f t="shared" si="4"/>
        <v>406008.61184100003</v>
      </c>
      <c r="S9" s="34">
        <f t="shared" si="4"/>
        <v>4218.1333301</v>
      </c>
      <c r="U9" s="35">
        <f aca="true" t="shared" si="116" ref="U9:U23">$C9*V$6</f>
        <v>1138.128</v>
      </c>
      <c r="V9" s="35">
        <f t="shared" si="5"/>
        <v>246.7935</v>
      </c>
      <c r="W9" s="5">
        <f t="shared" si="6"/>
        <v>1384.9215</v>
      </c>
      <c r="X9" s="35">
        <f t="shared" si="7"/>
        <v>113.5280508</v>
      </c>
      <c r="Y9" s="35">
        <f t="shared" si="8"/>
        <v>1.1796132</v>
      </c>
      <c r="AA9" s="35">
        <f aca="true" t="shared" si="117" ref="AA9:AA23">$C9*AB$6</f>
        <v>121119.98</v>
      </c>
      <c r="AB9" s="35">
        <f t="shared" si="9"/>
        <v>26263.850625</v>
      </c>
      <c r="AC9" s="5">
        <f t="shared" si="10"/>
        <v>147383.830625</v>
      </c>
      <c r="AD9" s="35">
        <f t="shared" si="11"/>
        <v>12081.694890499999</v>
      </c>
      <c r="AE9" s="35">
        <f t="shared" si="12"/>
        <v>125.53484949999999</v>
      </c>
      <c r="AG9" s="35">
        <f aca="true" t="shared" si="118" ref="AG9:AG23">$C9*AH$6</f>
        <v>7431.892</v>
      </c>
      <c r="AH9" s="35">
        <f t="shared" si="13"/>
        <v>1611.543375</v>
      </c>
      <c r="AI9" s="35">
        <f t="shared" si="14"/>
        <v>9043.435375</v>
      </c>
      <c r="AJ9" s="35">
        <f t="shared" si="15"/>
        <v>741.3298087</v>
      </c>
      <c r="AK9" s="35">
        <f t="shared" si="16"/>
        <v>7.7027873</v>
      </c>
      <c r="AM9" s="35">
        <f aca="true" t="shared" si="119" ref="AM9:AM23">$C9*AN$6</f>
        <v>53751.396</v>
      </c>
      <c r="AN9" s="35">
        <f t="shared" si="17"/>
        <v>11655.538875</v>
      </c>
      <c r="AO9" s="5">
        <f t="shared" si="18"/>
        <v>65406.934875</v>
      </c>
      <c r="AP9" s="35">
        <f t="shared" si="19"/>
        <v>5361.6914931</v>
      </c>
      <c r="AQ9" s="35">
        <f t="shared" si="20"/>
        <v>55.7106549</v>
      </c>
      <c r="AS9" s="35">
        <f aca="true" t="shared" si="120" ref="AS9:AS23">$C9*AT$6</f>
        <v>42515.264</v>
      </c>
      <c r="AT9" s="35">
        <f t="shared" si="21"/>
        <v>9219.078</v>
      </c>
      <c r="AU9" s="5">
        <f t="shared" si="22"/>
        <v>51734.342000000004</v>
      </c>
      <c r="AV9" s="35">
        <f t="shared" si="23"/>
        <v>4240.8894704</v>
      </c>
      <c r="AW9" s="35">
        <f t="shared" si="24"/>
        <v>44.064961600000004</v>
      </c>
      <c r="AY9" s="35">
        <f aca="true" t="shared" si="121" ref="AY9:AY23">$C9*AZ$6</f>
        <v>11341.456</v>
      </c>
      <c r="AZ9" s="35">
        <f t="shared" si="25"/>
        <v>2459.2995</v>
      </c>
      <c r="BA9" s="5">
        <f t="shared" si="26"/>
        <v>13800.7555</v>
      </c>
      <c r="BB9" s="35">
        <f t="shared" si="27"/>
        <v>1131.3080716</v>
      </c>
      <c r="BC9" s="35">
        <f t="shared" si="28"/>
        <v>11.7548564</v>
      </c>
      <c r="BE9" s="35">
        <f aca="true" t="shared" si="122" ref="BE9:BE23">$C9*BF$6</f>
        <v>128239.568</v>
      </c>
      <c r="BF9" s="35">
        <f t="shared" si="29"/>
        <v>27807.6735</v>
      </c>
      <c r="BG9" s="5">
        <f t="shared" si="30"/>
        <v>156047.2415</v>
      </c>
      <c r="BH9" s="35">
        <f t="shared" si="31"/>
        <v>12791.8724348</v>
      </c>
      <c r="BI9" s="35">
        <f t="shared" si="32"/>
        <v>132.9139492</v>
      </c>
      <c r="BJ9" s="5"/>
      <c r="BK9" s="35">
        <f aca="true" t="shared" si="123" ref="BK9:BK23">$C9*BL$6</f>
        <v>2254.772</v>
      </c>
      <c r="BL9" s="35">
        <f t="shared" si="33"/>
        <v>488.928375</v>
      </c>
      <c r="BM9" s="5">
        <f t="shared" si="34"/>
        <v>2743.700375</v>
      </c>
      <c r="BN9" s="35">
        <f t="shared" si="35"/>
        <v>224.9130767</v>
      </c>
      <c r="BO9" s="35">
        <f t="shared" si="36"/>
        <v>2.3369593</v>
      </c>
      <c r="BP9" s="5"/>
      <c r="BQ9" s="35">
        <f aca="true" t="shared" si="124" ref="BQ9:BQ23">$C9*BR$6</f>
        <v>481.556</v>
      </c>
      <c r="BR9" s="35">
        <f t="shared" si="37"/>
        <v>104.421375</v>
      </c>
      <c r="BS9" s="5">
        <f t="shared" si="38"/>
        <v>585.9773749999999</v>
      </c>
      <c r="BT9" s="35">
        <f t="shared" si="39"/>
        <v>48.035119099999996</v>
      </c>
      <c r="BU9" s="35"/>
      <c r="BV9" s="5"/>
      <c r="BW9" s="35">
        <f aca="true" t="shared" si="125" ref="BW9:BW23">$C9*BX$6</f>
        <v>460564.56</v>
      </c>
      <c r="BX9" s="35">
        <f t="shared" si="40"/>
        <v>99869.5575</v>
      </c>
      <c r="BY9" s="5">
        <f t="shared" si="41"/>
        <v>560434.1174999999</v>
      </c>
      <c r="BZ9" s="35">
        <f t="shared" si="42"/>
        <v>45941.226966</v>
      </c>
      <c r="CA9" s="35">
        <f t="shared" si="43"/>
        <v>477.352314</v>
      </c>
      <c r="CB9" s="5"/>
      <c r="CC9" s="35">
        <f aca="true" t="shared" si="126" ref="CC9:CC23">$C9*CD$6</f>
        <v>888.18</v>
      </c>
      <c r="CD9" s="35">
        <f t="shared" si="44"/>
        <v>192.594375</v>
      </c>
      <c r="CE9" s="5">
        <f t="shared" si="45"/>
        <v>1080.774375</v>
      </c>
      <c r="CF9" s="35">
        <f t="shared" si="46"/>
        <v>88.5957855</v>
      </c>
      <c r="CG9" s="35">
        <f t="shared" si="47"/>
        <v>0.9205545</v>
      </c>
      <c r="CH9" s="5"/>
      <c r="CI9" s="35">
        <f aca="true" t="shared" si="127" ref="CI9:CI23">$C9*CJ$6</f>
        <v>527.668</v>
      </c>
      <c r="CJ9" s="35">
        <f t="shared" si="48"/>
        <v>114.42037499999999</v>
      </c>
      <c r="CK9" s="5">
        <f t="shared" si="49"/>
        <v>642.088375</v>
      </c>
      <c r="CL9" s="35">
        <f t="shared" si="50"/>
        <v>52.6347823</v>
      </c>
      <c r="CM9" s="35">
        <f t="shared" si="51"/>
        <v>0.5469016999999999</v>
      </c>
      <c r="CN9" s="5"/>
      <c r="CO9" s="35">
        <f aca="true" t="shared" si="128" ref="CO9:CO23">$C9*CP$6</f>
        <v>32923.968</v>
      </c>
      <c r="CP9" s="35">
        <f t="shared" si="52"/>
        <v>7139.286</v>
      </c>
      <c r="CQ9" s="5">
        <f t="shared" si="53"/>
        <v>40063.254</v>
      </c>
      <c r="CR9" s="35">
        <f t="shared" si="54"/>
        <v>3284.1595248</v>
      </c>
      <c r="CS9" s="35">
        <f t="shared" si="55"/>
        <v>34.1240592</v>
      </c>
      <c r="CT9" s="5"/>
      <c r="CU9" s="35">
        <f aca="true" t="shared" si="129" ref="CU9:CU23">$C9*CV$6</f>
        <v>3477.788</v>
      </c>
      <c r="CV9" s="35">
        <f t="shared" si="56"/>
        <v>754.129125</v>
      </c>
      <c r="CW9" s="5">
        <f t="shared" si="57"/>
        <v>4231.917125</v>
      </c>
      <c r="CX9" s="35">
        <f t="shared" si="58"/>
        <v>346.9086893</v>
      </c>
      <c r="CY9" s="35">
        <f t="shared" si="59"/>
        <v>3.6045547</v>
      </c>
      <c r="CZ9" s="5"/>
      <c r="DA9" s="35">
        <f>$C9*DB$6</f>
        <v>9500.644</v>
      </c>
      <c r="DB9" s="35">
        <f t="shared" si="60"/>
        <v>2060.134875</v>
      </c>
      <c r="DC9" s="5">
        <f t="shared" si="61"/>
        <v>11560.778875</v>
      </c>
      <c r="DD9" s="35">
        <f t="shared" si="62"/>
        <v>947.6874259</v>
      </c>
      <c r="DE9" s="35">
        <f t="shared" si="63"/>
        <v>9.8469461</v>
      </c>
      <c r="DF9" s="5"/>
      <c r="DG9" s="35">
        <f aca="true" t="shared" si="130" ref="DG9:DG23">$C9*DH$6</f>
        <v>92931.924</v>
      </c>
      <c r="DH9" s="35">
        <f t="shared" si="64"/>
        <v>20151.507375</v>
      </c>
      <c r="DI9" s="35">
        <f t="shared" si="65"/>
        <v>113083.431375</v>
      </c>
      <c r="DJ9" s="35">
        <f t="shared" si="66"/>
        <v>9269.9416839</v>
      </c>
      <c r="DK9" s="35">
        <f t="shared" si="67"/>
        <v>96.3193281</v>
      </c>
      <c r="DL9" s="5"/>
      <c r="DM9" s="35">
        <f aca="true" t="shared" si="131" ref="DM9:DM23">$C9*DN$6</f>
        <v>12833.807999999999</v>
      </c>
      <c r="DN9" s="35">
        <f t="shared" si="68"/>
        <v>2782.9035</v>
      </c>
      <c r="DO9" s="35">
        <f t="shared" si="69"/>
        <v>15616.7115</v>
      </c>
      <c r="DP9" s="35">
        <f t="shared" si="70"/>
        <v>1280.1698988</v>
      </c>
      <c r="DQ9" s="35">
        <f t="shared" si="71"/>
        <v>13.3016052</v>
      </c>
      <c r="DR9" s="5"/>
      <c r="DS9" s="35">
        <f aca="true" t="shared" si="132" ref="DS9:DS23">$C9*DT$6</f>
        <v>51268.159999999996</v>
      </c>
      <c r="DT9" s="35">
        <f t="shared" si="72"/>
        <v>11117.07</v>
      </c>
      <c r="DU9" s="5">
        <f t="shared" si="73"/>
        <v>62385.229999999996</v>
      </c>
      <c r="DV9" s="35">
        <f t="shared" si="74"/>
        <v>5113.989176</v>
      </c>
      <c r="DW9" s="35">
        <f t="shared" si="75"/>
        <v>53.136903999999994</v>
      </c>
      <c r="DX9" s="5"/>
      <c r="DY9" s="35">
        <f aca="true" t="shared" si="133" ref="DY9:DY23">$C9*DZ$6</f>
        <v>412257</v>
      </c>
      <c r="DZ9" s="35">
        <f t="shared" si="76"/>
        <v>89394.46875</v>
      </c>
      <c r="EA9" s="35">
        <f t="shared" si="77"/>
        <v>501651.46875</v>
      </c>
      <c r="EB9" s="35">
        <f t="shared" si="78"/>
        <v>41122.557075</v>
      </c>
      <c r="EC9" s="35">
        <f t="shared" si="79"/>
        <v>427.28392499999995</v>
      </c>
      <c r="ED9" s="5"/>
      <c r="EE9" s="35">
        <f aca="true" t="shared" si="134" ref="EE9:EE23">$C9*EF$6</f>
        <v>615875.54</v>
      </c>
      <c r="EF9" s="35">
        <f t="shared" si="80"/>
        <v>133547.439375</v>
      </c>
      <c r="EG9" s="5">
        <f t="shared" si="81"/>
        <v>749422.979375</v>
      </c>
      <c r="EH9" s="35">
        <f t="shared" si="82"/>
        <v>61433.4675815</v>
      </c>
      <c r="EI9" s="35">
        <f t="shared" si="83"/>
        <v>638.3244385</v>
      </c>
      <c r="EJ9" s="5"/>
      <c r="EK9" s="35">
        <f aca="true" t="shared" si="135" ref="EK9:EK23">$C9*EL$6</f>
        <v>5133.103999999999</v>
      </c>
      <c r="EL9" s="35">
        <f t="shared" si="84"/>
        <v>1113.0705</v>
      </c>
      <c r="EM9" s="5">
        <f t="shared" si="85"/>
        <v>6246.174499999999</v>
      </c>
      <c r="EN9" s="35">
        <f t="shared" si="86"/>
        <v>512.0261444</v>
      </c>
      <c r="EO9" s="35">
        <f t="shared" si="87"/>
        <v>5.3202076</v>
      </c>
      <c r="EP9" s="5"/>
      <c r="EQ9" s="35">
        <f aca="true" t="shared" si="136" ref="EQ9:EQ23">$C9*ER$6</f>
        <v>196826.452</v>
      </c>
      <c r="ER9" s="35">
        <f t="shared" si="88"/>
        <v>42680.163375</v>
      </c>
      <c r="ES9" s="5">
        <f t="shared" si="89"/>
        <v>239506.615375</v>
      </c>
      <c r="ET9" s="35">
        <f t="shared" si="90"/>
        <v>19633.4010247</v>
      </c>
      <c r="EU9" s="35">
        <f t="shared" si="91"/>
        <v>204.0008513</v>
      </c>
      <c r="EV9" s="5"/>
      <c r="EW9" s="35">
        <f aca="true" t="shared" si="137" ref="EW9:EW23">$C9*EX$6</f>
        <v>328401.80399999995</v>
      </c>
      <c r="EX9" s="35">
        <f t="shared" si="92"/>
        <v>71211.173625</v>
      </c>
      <c r="EY9" s="5">
        <f t="shared" si="93"/>
        <v>399612.97762499994</v>
      </c>
      <c r="EZ9" s="35">
        <f t="shared" si="94"/>
        <v>32758.0172769</v>
      </c>
      <c r="FA9" s="35">
        <f t="shared" si="95"/>
        <v>340.3721751</v>
      </c>
      <c r="FB9" s="5"/>
      <c r="FC9" s="35">
        <f aca="true" t="shared" si="138" ref="FC9:FC23">$C9*FD$6</f>
        <v>281157.964</v>
      </c>
      <c r="FD9" s="35">
        <f t="shared" si="96"/>
        <v>60966.743624999996</v>
      </c>
      <c r="FE9" s="5">
        <f t="shared" si="97"/>
        <v>342124.707625</v>
      </c>
      <c r="FF9" s="35">
        <f t="shared" si="98"/>
        <v>28045.4532529</v>
      </c>
      <c r="FG9" s="35">
        <f t="shared" si="99"/>
        <v>291.4062791</v>
      </c>
      <c r="FH9" s="5"/>
      <c r="FI9" s="35">
        <f aca="true" t="shared" si="139" ref="FI9:FI23">$C9*FJ$6</f>
        <v>278793.676</v>
      </c>
      <c r="FJ9" s="35">
        <f t="shared" si="100"/>
        <v>60454.067624999996</v>
      </c>
      <c r="FK9" s="5">
        <f t="shared" si="101"/>
        <v>339247.743625</v>
      </c>
      <c r="FL9" s="35">
        <f t="shared" si="102"/>
        <v>27809.615976099998</v>
      </c>
      <c r="FM9" s="35">
        <f t="shared" si="103"/>
        <v>288.9558119</v>
      </c>
      <c r="FN9" s="5"/>
      <c r="FO9" s="35">
        <f aca="true" t="shared" si="140" ref="FO9:FO23">$C9*FP$6</f>
        <v>404237.70399999997</v>
      </c>
      <c r="FP9" s="35">
        <f t="shared" si="104"/>
        <v>87655.55175</v>
      </c>
      <c r="FQ9" s="35">
        <f t="shared" si="105"/>
        <v>491893.25574999995</v>
      </c>
      <c r="FR9" s="35">
        <f t="shared" si="106"/>
        <v>40322.633829399994</v>
      </c>
      <c r="FS9" s="35">
        <f t="shared" si="107"/>
        <v>418.9723226</v>
      </c>
      <c r="FT9" s="5"/>
      <c r="FU9" s="35">
        <f aca="true" t="shared" si="141" ref="FU9:FU23">$C9*FV$6</f>
        <v>512032.88800000004</v>
      </c>
      <c r="FV9" s="35">
        <f t="shared" si="108"/>
        <v>111030.03225</v>
      </c>
      <c r="FW9" s="35">
        <f t="shared" si="109"/>
        <v>623062.9202500001</v>
      </c>
      <c r="FX9" s="35">
        <f t="shared" si="110"/>
        <v>51075.1828618</v>
      </c>
      <c r="FY9" s="35">
        <f t="shared" si="111"/>
        <v>530.6966822</v>
      </c>
      <c r="FZ9" s="5"/>
      <c r="GA9" s="35">
        <f aca="true" t="shared" si="142" ref="GA9:GA23">$C9*GB$6</f>
        <v>2362.716</v>
      </c>
      <c r="GB9" s="35">
        <f t="shared" si="112"/>
        <v>512.3351250000001</v>
      </c>
      <c r="GC9" s="5">
        <f t="shared" si="113"/>
        <v>2875.051125</v>
      </c>
      <c r="GD9" s="35">
        <f t="shared" si="114"/>
        <v>235.6804701</v>
      </c>
      <c r="GE9" s="35">
        <f t="shared" si="115"/>
        <v>2.4488379</v>
      </c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</row>
    <row r="10" spans="1:230" ht="12.75">
      <c r="A10" s="36">
        <v>45200</v>
      </c>
      <c r="D10" s="3">
        <v>1031450</v>
      </c>
      <c r="E10" s="34">
        <f t="shared" si="0"/>
        <v>1031450</v>
      </c>
      <c r="F10" s="34">
        <v>522689</v>
      </c>
      <c r="G10" s="34">
        <v>5431</v>
      </c>
      <c r="I10" s="35">
        <f>'2019C Academic'!I10</f>
        <v>0</v>
      </c>
      <c r="J10" s="35">
        <f>'2019C Academic'!J10</f>
        <v>230251.61495000002</v>
      </c>
      <c r="K10" s="35">
        <f t="shared" si="1"/>
        <v>230251.61495000002</v>
      </c>
      <c r="L10" s="35">
        <f>'2019C Academic'!L10</f>
        <v>116680.38815900001</v>
      </c>
      <c r="M10" s="35">
        <f>'2019C Academic'!M10</f>
        <v>1212.3675610000003</v>
      </c>
      <c r="O10" s="35"/>
      <c r="P10" s="34">
        <f t="shared" si="2"/>
        <v>801198.38505</v>
      </c>
      <c r="Q10" s="5">
        <f t="shared" si="3"/>
        <v>801198.38505</v>
      </c>
      <c r="R10" s="34">
        <f t="shared" si="4"/>
        <v>406008.61184100003</v>
      </c>
      <c r="S10" s="34">
        <f t="shared" si="4"/>
        <v>4218.1333301</v>
      </c>
      <c r="U10" s="35"/>
      <c r="V10" s="35">
        <f t="shared" si="5"/>
        <v>224.03094</v>
      </c>
      <c r="W10" s="5">
        <f t="shared" si="6"/>
        <v>224.03094</v>
      </c>
      <c r="X10" s="35">
        <f t="shared" si="7"/>
        <v>113.5280508</v>
      </c>
      <c r="Y10" s="35">
        <f t="shared" si="8"/>
        <v>1.1796132</v>
      </c>
      <c r="AA10" s="35"/>
      <c r="AB10" s="35">
        <f t="shared" si="9"/>
        <v>23841.451025</v>
      </c>
      <c r="AC10" s="5">
        <f t="shared" si="10"/>
        <v>23841.451025</v>
      </c>
      <c r="AD10" s="35">
        <f t="shared" si="11"/>
        <v>12081.694890499999</v>
      </c>
      <c r="AE10" s="35">
        <f t="shared" si="12"/>
        <v>125.53484949999999</v>
      </c>
      <c r="AG10" s="35"/>
      <c r="AH10" s="35">
        <f t="shared" si="13"/>
        <v>1462.9055349999999</v>
      </c>
      <c r="AI10" s="35">
        <f t="shared" si="14"/>
        <v>1462.9055349999999</v>
      </c>
      <c r="AJ10" s="35">
        <f t="shared" si="15"/>
        <v>741.3298087</v>
      </c>
      <c r="AK10" s="35">
        <f t="shared" si="16"/>
        <v>7.7027873</v>
      </c>
      <c r="AM10" s="35"/>
      <c r="AN10" s="35">
        <f t="shared" si="17"/>
        <v>10580.510955</v>
      </c>
      <c r="AO10" s="5">
        <f t="shared" si="18"/>
        <v>10580.510955</v>
      </c>
      <c r="AP10" s="35">
        <f t="shared" si="19"/>
        <v>5361.6914931</v>
      </c>
      <c r="AQ10" s="35">
        <f t="shared" si="20"/>
        <v>55.7106549</v>
      </c>
      <c r="AS10" s="35"/>
      <c r="AT10" s="35">
        <f t="shared" si="21"/>
        <v>8368.77272</v>
      </c>
      <c r="AU10" s="5">
        <f t="shared" si="22"/>
        <v>8368.77272</v>
      </c>
      <c r="AV10" s="35">
        <f t="shared" si="23"/>
        <v>4240.8894704</v>
      </c>
      <c r="AW10" s="35">
        <f t="shared" si="24"/>
        <v>44.064961600000004</v>
      </c>
      <c r="AY10" s="35"/>
      <c r="AZ10" s="35">
        <f t="shared" si="25"/>
        <v>2232.4703799999997</v>
      </c>
      <c r="BA10" s="5">
        <f t="shared" si="26"/>
        <v>2232.4703799999997</v>
      </c>
      <c r="BB10" s="35">
        <f t="shared" si="27"/>
        <v>1131.3080716</v>
      </c>
      <c r="BC10" s="35">
        <f t="shared" si="28"/>
        <v>11.7548564</v>
      </c>
      <c r="BE10" s="35"/>
      <c r="BF10" s="35">
        <f t="shared" si="29"/>
        <v>25242.88214</v>
      </c>
      <c r="BG10" s="5">
        <f t="shared" si="30"/>
        <v>25242.88214</v>
      </c>
      <c r="BH10" s="35">
        <f t="shared" si="31"/>
        <v>12791.8724348</v>
      </c>
      <c r="BI10" s="35">
        <f t="shared" si="32"/>
        <v>132.9139492</v>
      </c>
      <c r="BJ10" s="5"/>
      <c r="BK10" s="35"/>
      <c r="BL10" s="35">
        <f t="shared" si="33"/>
        <v>443.832935</v>
      </c>
      <c r="BM10" s="5">
        <f t="shared" si="34"/>
        <v>443.832935</v>
      </c>
      <c r="BN10" s="35">
        <f t="shared" si="35"/>
        <v>224.9130767</v>
      </c>
      <c r="BO10" s="35">
        <f t="shared" si="36"/>
        <v>2.3369593</v>
      </c>
      <c r="BP10" s="5"/>
      <c r="BQ10" s="35"/>
      <c r="BR10" s="35">
        <f t="shared" si="37"/>
        <v>94.790255</v>
      </c>
      <c r="BS10" s="5">
        <f t="shared" si="38"/>
        <v>94.790255</v>
      </c>
      <c r="BT10" s="35">
        <f t="shared" si="39"/>
        <v>48.035119099999996</v>
      </c>
      <c r="BU10" s="35"/>
      <c r="BV10" s="5"/>
      <c r="BW10" s="35"/>
      <c r="BX10" s="35">
        <f t="shared" si="40"/>
        <v>90658.2663</v>
      </c>
      <c r="BY10" s="5">
        <f t="shared" si="41"/>
        <v>90658.2663</v>
      </c>
      <c r="BZ10" s="35">
        <f t="shared" si="42"/>
        <v>45941.226966</v>
      </c>
      <c r="CA10" s="35">
        <f t="shared" si="43"/>
        <v>477.352314</v>
      </c>
      <c r="CB10" s="5"/>
      <c r="CC10" s="35"/>
      <c r="CD10" s="35">
        <f t="shared" si="44"/>
        <v>174.830775</v>
      </c>
      <c r="CE10" s="5">
        <f t="shared" si="45"/>
        <v>174.830775</v>
      </c>
      <c r="CF10" s="35">
        <f t="shared" si="46"/>
        <v>88.5957855</v>
      </c>
      <c r="CG10" s="35">
        <f t="shared" si="47"/>
        <v>0.9205545</v>
      </c>
      <c r="CH10" s="5"/>
      <c r="CI10" s="35"/>
      <c r="CJ10" s="35">
        <f t="shared" si="48"/>
        <v>103.867015</v>
      </c>
      <c r="CK10" s="5">
        <f t="shared" si="49"/>
        <v>103.867015</v>
      </c>
      <c r="CL10" s="35">
        <f t="shared" si="50"/>
        <v>52.6347823</v>
      </c>
      <c r="CM10" s="35">
        <f t="shared" si="51"/>
        <v>0.5469016999999999</v>
      </c>
      <c r="CN10" s="5"/>
      <c r="CO10" s="35"/>
      <c r="CP10" s="35">
        <f t="shared" si="52"/>
        <v>6480.80664</v>
      </c>
      <c r="CQ10" s="5">
        <f t="shared" si="53"/>
        <v>6480.80664</v>
      </c>
      <c r="CR10" s="35">
        <f t="shared" si="54"/>
        <v>3284.1595248</v>
      </c>
      <c r="CS10" s="35">
        <f t="shared" si="55"/>
        <v>34.1240592</v>
      </c>
      <c r="CT10" s="5"/>
      <c r="CU10" s="35"/>
      <c r="CV10" s="35">
        <f t="shared" si="56"/>
        <v>684.5733650000001</v>
      </c>
      <c r="CW10" s="5">
        <f t="shared" si="57"/>
        <v>684.5733650000001</v>
      </c>
      <c r="CX10" s="35">
        <f t="shared" si="58"/>
        <v>346.9086893</v>
      </c>
      <c r="CY10" s="35">
        <f t="shared" si="59"/>
        <v>3.6045547</v>
      </c>
      <c r="CZ10" s="5"/>
      <c r="DA10" s="35"/>
      <c r="DB10" s="35">
        <f t="shared" si="60"/>
        <v>1870.121995</v>
      </c>
      <c r="DC10" s="5">
        <f t="shared" si="61"/>
        <v>1870.121995</v>
      </c>
      <c r="DD10" s="35">
        <f t="shared" si="62"/>
        <v>947.6874259</v>
      </c>
      <c r="DE10" s="35">
        <f t="shared" si="63"/>
        <v>9.8469461</v>
      </c>
      <c r="DF10" s="5"/>
      <c r="DG10" s="35"/>
      <c r="DH10" s="35">
        <f t="shared" si="64"/>
        <v>18292.868895</v>
      </c>
      <c r="DI10" s="35">
        <f t="shared" si="65"/>
        <v>18292.868895</v>
      </c>
      <c r="DJ10" s="35">
        <f t="shared" si="66"/>
        <v>9269.9416839</v>
      </c>
      <c r="DK10" s="35">
        <f t="shared" si="67"/>
        <v>96.3193281</v>
      </c>
      <c r="DL10" s="5"/>
      <c r="DM10" s="35"/>
      <c r="DN10" s="35">
        <f t="shared" si="68"/>
        <v>2526.22734</v>
      </c>
      <c r="DO10" s="35">
        <f t="shared" si="69"/>
        <v>2526.22734</v>
      </c>
      <c r="DP10" s="35">
        <f t="shared" si="70"/>
        <v>1280.1698988</v>
      </c>
      <c r="DQ10" s="35">
        <f t="shared" si="71"/>
        <v>13.3016052</v>
      </c>
      <c r="DR10" s="5"/>
      <c r="DS10" s="35"/>
      <c r="DT10" s="35">
        <f t="shared" si="72"/>
        <v>10091.7068</v>
      </c>
      <c r="DU10" s="5">
        <f t="shared" si="73"/>
        <v>10091.7068</v>
      </c>
      <c r="DV10" s="35">
        <f t="shared" si="74"/>
        <v>5113.989176</v>
      </c>
      <c r="DW10" s="35">
        <f t="shared" si="75"/>
        <v>53.136903999999994</v>
      </c>
      <c r="DX10" s="5"/>
      <c r="DY10" s="35"/>
      <c r="DZ10" s="35">
        <f t="shared" si="76"/>
        <v>81149.32875</v>
      </c>
      <c r="EA10" s="35">
        <f t="shared" si="77"/>
        <v>81149.32875</v>
      </c>
      <c r="EB10" s="35">
        <f t="shared" si="78"/>
        <v>41122.557075</v>
      </c>
      <c r="EC10" s="35">
        <f t="shared" si="79"/>
        <v>427.28392499999995</v>
      </c>
      <c r="ED10" s="5"/>
      <c r="EE10" s="35"/>
      <c r="EF10" s="35">
        <f t="shared" si="80"/>
        <v>121229.928575</v>
      </c>
      <c r="EG10" s="5">
        <f t="shared" si="81"/>
        <v>121229.928575</v>
      </c>
      <c r="EH10" s="35">
        <f t="shared" si="82"/>
        <v>61433.4675815</v>
      </c>
      <c r="EI10" s="35">
        <f t="shared" si="83"/>
        <v>638.3244385</v>
      </c>
      <c r="EJ10" s="5"/>
      <c r="EK10" s="35"/>
      <c r="EL10" s="35">
        <f t="shared" si="84"/>
        <v>1010.40842</v>
      </c>
      <c r="EM10" s="5">
        <f t="shared" si="85"/>
        <v>1010.40842</v>
      </c>
      <c r="EN10" s="35">
        <f t="shared" si="86"/>
        <v>512.0261444</v>
      </c>
      <c r="EO10" s="35">
        <f t="shared" si="87"/>
        <v>5.3202076</v>
      </c>
      <c r="EP10" s="5"/>
      <c r="EQ10" s="35"/>
      <c r="ER10" s="35">
        <f t="shared" si="88"/>
        <v>38743.634335</v>
      </c>
      <c r="ES10" s="5">
        <f t="shared" si="89"/>
        <v>38743.634335</v>
      </c>
      <c r="ET10" s="35">
        <f t="shared" si="90"/>
        <v>19633.4010247</v>
      </c>
      <c r="EU10" s="35">
        <f t="shared" si="91"/>
        <v>204.0008513</v>
      </c>
      <c r="EV10" s="5"/>
      <c r="EW10" s="35"/>
      <c r="EX10" s="35">
        <f t="shared" si="92"/>
        <v>64643.137545</v>
      </c>
      <c r="EY10" s="5">
        <f t="shared" si="93"/>
        <v>64643.137545</v>
      </c>
      <c r="EZ10" s="35">
        <f t="shared" si="94"/>
        <v>32758.0172769</v>
      </c>
      <c r="FA10" s="35">
        <f t="shared" si="95"/>
        <v>340.3721751</v>
      </c>
      <c r="FB10" s="5"/>
      <c r="FC10" s="35"/>
      <c r="FD10" s="35">
        <f t="shared" si="96"/>
        <v>55343.584344999996</v>
      </c>
      <c r="FE10" s="5">
        <f t="shared" si="97"/>
        <v>55343.584344999996</v>
      </c>
      <c r="FF10" s="35">
        <f t="shared" si="98"/>
        <v>28045.4532529</v>
      </c>
      <c r="FG10" s="35">
        <f t="shared" si="99"/>
        <v>291.4062791</v>
      </c>
      <c r="FH10" s="5"/>
      <c r="FI10" s="35"/>
      <c r="FJ10" s="35">
        <f t="shared" si="100"/>
        <v>54878.194105</v>
      </c>
      <c r="FK10" s="5">
        <f t="shared" si="101"/>
        <v>54878.194105</v>
      </c>
      <c r="FL10" s="35">
        <f t="shared" si="102"/>
        <v>27809.615976099998</v>
      </c>
      <c r="FM10" s="35">
        <f t="shared" si="103"/>
        <v>288.9558119</v>
      </c>
      <c r="FN10" s="5"/>
      <c r="FO10" s="35"/>
      <c r="FP10" s="35">
        <f t="shared" si="104"/>
        <v>79570.79767</v>
      </c>
      <c r="FQ10" s="35">
        <f t="shared" si="105"/>
        <v>79570.79767</v>
      </c>
      <c r="FR10" s="35">
        <f t="shared" si="106"/>
        <v>40322.633829399994</v>
      </c>
      <c r="FS10" s="35">
        <f t="shared" si="107"/>
        <v>418.9723226</v>
      </c>
      <c r="FT10" s="5"/>
      <c r="FU10" s="35"/>
      <c r="FV10" s="35">
        <f t="shared" si="108"/>
        <v>100789.37449</v>
      </c>
      <c r="FW10" s="35">
        <f t="shared" si="109"/>
        <v>100789.37449</v>
      </c>
      <c r="FX10" s="35">
        <f t="shared" si="110"/>
        <v>51075.1828618</v>
      </c>
      <c r="FY10" s="35">
        <f t="shared" si="111"/>
        <v>530.6966822</v>
      </c>
      <c r="FZ10" s="5"/>
      <c r="GA10" s="35"/>
      <c r="GB10" s="35">
        <f t="shared" si="112"/>
        <v>465.080805</v>
      </c>
      <c r="GC10" s="5">
        <f t="shared" si="113"/>
        <v>465.080805</v>
      </c>
      <c r="GD10" s="35">
        <f t="shared" si="114"/>
        <v>235.6804701</v>
      </c>
      <c r="GE10" s="35">
        <f t="shared" si="115"/>
        <v>2.4488379</v>
      </c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</row>
    <row r="11" spans="1:230" ht="12.75">
      <c r="A11" s="36">
        <v>45383</v>
      </c>
      <c r="C11" s="3">
        <v>5450000</v>
      </c>
      <c r="D11" s="3">
        <v>1031450</v>
      </c>
      <c r="E11" s="34">
        <f t="shared" si="0"/>
        <v>6481450</v>
      </c>
      <c r="F11" s="34">
        <v>522689</v>
      </c>
      <c r="G11" s="34">
        <v>5431</v>
      </c>
      <c r="I11" s="35">
        <f>'2019C Academic'!I11</f>
        <v>1216608.95</v>
      </c>
      <c r="J11" s="35">
        <f>'2019C Academic'!J11</f>
        <v>230251.61495000002</v>
      </c>
      <c r="K11" s="35">
        <f t="shared" si="1"/>
        <v>1446860.56495</v>
      </c>
      <c r="L11" s="35">
        <f>'2019C Academic'!L11</f>
        <v>116680.38815900001</v>
      </c>
      <c r="M11" s="35">
        <f>'2019C Academic'!M11</f>
        <v>1212.3675610000003</v>
      </c>
      <c r="O11" s="35">
        <f>U11+AA11+AG11+AM11+AS11+AY11+BE11+BK11+BQ11+BW11+CC11+CI11+CO11+CU11+DG11+DM11+DS11+DY11+EE11+EK11+EQ11+EW11+FC11+FI11+DA11+FO11+FU11+GA11+GG11</f>
        <v>4233391.05</v>
      </c>
      <c r="P11" s="34">
        <f t="shared" si="2"/>
        <v>801198.38505</v>
      </c>
      <c r="Q11" s="5">
        <f t="shared" si="3"/>
        <v>5034589.4350499995</v>
      </c>
      <c r="R11" s="34">
        <f t="shared" si="4"/>
        <v>406008.61184100003</v>
      </c>
      <c r="S11" s="34">
        <f t="shared" si="4"/>
        <v>4218.1333301</v>
      </c>
      <c r="U11" s="35">
        <f t="shared" si="116"/>
        <v>1183.74</v>
      </c>
      <c r="V11" s="35">
        <f t="shared" si="5"/>
        <v>224.03094</v>
      </c>
      <c r="W11" s="5">
        <f t="shared" si="6"/>
        <v>1407.7709399999999</v>
      </c>
      <c r="X11" s="35">
        <f t="shared" si="7"/>
        <v>113.5280508</v>
      </c>
      <c r="Y11" s="35">
        <f t="shared" si="8"/>
        <v>1.1796132</v>
      </c>
      <c r="AA11" s="35">
        <f t="shared" si="117"/>
        <v>125974.025</v>
      </c>
      <c r="AB11" s="35">
        <f t="shared" si="9"/>
        <v>23841.451025</v>
      </c>
      <c r="AC11" s="5">
        <f t="shared" si="10"/>
        <v>149815.47602499998</v>
      </c>
      <c r="AD11" s="35">
        <f t="shared" si="11"/>
        <v>12081.694890499999</v>
      </c>
      <c r="AE11" s="35">
        <f t="shared" si="12"/>
        <v>125.53484949999999</v>
      </c>
      <c r="AG11" s="35">
        <f t="shared" si="118"/>
        <v>7729.735</v>
      </c>
      <c r="AH11" s="35">
        <f t="shared" si="13"/>
        <v>1462.9055349999999</v>
      </c>
      <c r="AI11" s="35">
        <f t="shared" si="14"/>
        <v>9192.640534999999</v>
      </c>
      <c r="AJ11" s="35">
        <f t="shared" si="15"/>
        <v>741.3298087</v>
      </c>
      <c r="AK11" s="35">
        <f t="shared" si="16"/>
        <v>7.7027873</v>
      </c>
      <c r="AM11" s="35">
        <f t="shared" si="119"/>
        <v>55905.555</v>
      </c>
      <c r="AN11" s="35">
        <f t="shared" si="17"/>
        <v>10580.510955</v>
      </c>
      <c r="AO11" s="5">
        <f t="shared" si="18"/>
        <v>66486.065955</v>
      </c>
      <c r="AP11" s="35">
        <f t="shared" si="19"/>
        <v>5361.6914931</v>
      </c>
      <c r="AQ11" s="35">
        <f t="shared" si="20"/>
        <v>55.7106549</v>
      </c>
      <c r="AS11" s="35">
        <f t="shared" si="120"/>
        <v>44219.12</v>
      </c>
      <c r="AT11" s="35">
        <f t="shared" si="21"/>
        <v>8368.77272</v>
      </c>
      <c r="AU11" s="5">
        <f t="shared" si="22"/>
        <v>52587.89272</v>
      </c>
      <c r="AV11" s="35">
        <f t="shared" si="23"/>
        <v>4240.8894704</v>
      </c>
      <c r="AW11" s="35">
        <f t="shared" si="24"/>
        <v>44.064961600000004</v>
      </c>
      <c r="AY11" s="35">
        <f t="shared" si="121"/>
        <v>11795.98</v>
      </c>
      <c r="AZ11" s="35">
        <f t="shared" si="25"/>
        <v>2232.4703799999997</v>
      </c>
      <c r="BA11" s="5">
        <f t="shared" si="26"/>
        <v>14028.450379999998</v>
      </c>
      <c r="BB11" s="35">
        <f t="shared" si="27"/>
        <v>1131.3080716</v>
      </c>
      <c r="BC11" s="35">
        <f t="shared" si="28"/>
        <v>11.7548564</v>
      </c>
      <c r="BE11" s="35">
        <f t="shared" si="122"/>
        <v>133378.94</v>
      </c>
      <c r="BF11" s="35">
        <f t="shared" si="29"/>
        <v>25242.88214</v>
      </c>
      <c r="BG11" s="5">
        <f t="shared" si="30"/>
        <v>158621.82214</v>
      </c>
      <c r="BH11" s="35">
        <f t="shared" si="31"/>
        <v>12791.8724348</v>
      </c>
      <c r="BI11" s="35">
        <f t="shared" si="32"/>
        <v>132.9139492</v>
      </c>
      <c r="BJ11" s="5"/>
      <c r="BK11" s="35">
        <f t="shared" si="123"/>
        <v>2345.1349999999998</v>
      </c>
      <c r="BL11" s="35">
        <f t="shared" si="33"/>
        <v>443.832935</v>
      </c>
      <c r="BM11" s="5">
        <f t="shared" si="34"/>
        <v>2788.9679349999997</v>
      </c>
      <c r="BN11" s="35">
        <f t="shared" si="35"/>
        <v>224.9130767</v>
      </c>
      <c r="BO11" s="35">
        <f t="shared" si="36"/>
        <v>2.3369593</v>
      </c>
      <c r="BP11" s="5"/>
      <c r="BQ11" s="35">
        <f t="shared" si="124"/>
        <v>500.85499999999996</v>
      </c>
      <c r="BR11" s="35">
        <f t="shared" si="37"/>
        <v>94.790255</v>
      </c>
      <c r="BS11" s="5">
        <f t="shared" si="38"/>
        <v>595.6452549999999</v>
      </c>
      <c r="BT11" s="35">
        <f t="shared" si="39"/>
        <v>48.035119099999996</v>
      </c>
      <c r="BU11" s="35"/>
      <c r="BV11" s="5"/>
      <c r="BW11" s="35">
        <f t="shared" si="125"/>
        <v>479022.3</v>
      </c>
      <c r="BX11" s="35">
        <f t="shared" si="40"/>
        <v>90658.2663</v>
      </c>
      <c r="BY11" s="5">
        <f t="shared" si="41"/>
        <v>569680.5663</v>
      </c>
      <c r="BZ11" s="35">
        <f t="shared" si="42"/>
        <v>45941.226966</v>
      </c>
      <c r="CA11" s="35">
        <f t="shared" si="43"/>
        <v>477.352314</v>
      </c>
      <c r="CB11" s="5"/>
      <c r="CC11" s="35">
        <f t="shared" si="126"/>
        <v>923.775</v>
      </c>
      <c r="CD11" s="35">
        <f t="shared" si="44"/>
        <v>174.830775</v>
      </c>
      <c r="CE11" s="5">
        <f t="shared" si="45"/>
        <v>1098.605775</v>
      </c>
      <c r="CF11" s="35">
        <f t="shared" si="46"/>
        <v>88.5957855</v>
      </c>
      <c r="CG11" s="35">
        <f t="shared" si="47"/>
        <v>0.9205545</v>
      </c>
      <c r="CH11" s="5"/>
      <c r="CI11" s="35">
        <f t="shared" si="127"/>
        <v>548.8149999999999</v>
      </c>
      <c r="CJ11" s="35">
        <f t="shared" si="48"/>
        <v>103.867015</v>
      </c>
      <c r="CK11" s="5">
        <f t="shared" si="49"/>
        <v>652.682015</v>
      </c>
      <c r="CL11" s="35">
        <f t="shared" si="50"/>
        <v>52.6347823</v>
      </c>
      <c r="CM11" s="35">
        <f t="shared" si="51"/>
        <v>0.5469016999999999</v>
      </c>
      <c r="CN11" s="5"/>
      <c r="CO11" s="35">
        <f t="shared" si="128"/>
        <v>34243.44</v>
      </c>
      <c r="CP11" s="35">
        <f t="shared" si="52"/>
        <v>6480.80664</v>
      </c>
      <c r="CQ11" s="5">
        <f t="shared" si="53"/>
        <v>40724.246640000005</v>
      </c>
      <c r="CR11" s="35">
        <f t="shared" si="54"/>
        <v>3284.1595248</v>
      </c>
      <c r="CS11" s="35">
        <f t="shared" si="55"/>
        <v>34.1240592</v>
      </c>
      <c r="CT11" s="5"/>
      <c r="CU11" s="35">
        <f t="shared" si="129"/>
        <v>3617.165</v>
      </c>
      <c r="CV11" s="35">
        <f t="shared" si="56"/>
        <v>684.5733650000001</v>
      </c>
      <c r="CW11" s="5">
        <f t="shared" si="57"/>
        <v>4301.738365</v>
      </c>
      <c r="CX11" s="35">
        <f t="shared" si="58"/>
        <v>346.9086893</v>
      </c>
      <c r="CY11" s="35">
        <f t="shared" si="59"/>
        <v>3.6045547</v>
      </c>
      <c r="CZ11" s="5"/>
      <c r="DA11" s="35">
        <f>$C11*DB$6</f>
        <v>9881.395</v>
      </c>
      <c r="DB11" s="35">
        <f t="shared" si="60"/>
        <v>1870.121995</v>
      </c>
      <c r="DC11" s="5">
        <f t="shared" si="61"/>
        <v>11751.516995</v>
      </c>
      <c r="DD11" s="35">
        <f t="shared" si="62"/>
        <v>947.6874259</v>
      </c>
      <c r="DE11" s="35">
        <f t="shared" si="63"/>
        <v>9.8469461</v>
      </c>
      <c r="DF11" s="5"/>
      <c r="DG11" s="35">
        <f t="shared" si="130"/>
        <v>96656.295</v>
      </c>
      <c r="DH11" s="35">
        <f t="shared" si="64"/>
        <v>18292.868895</v>
      </c>
      <c r="DI11" s="35">
        <f t="shared" si="65"/>
        <v>114949.163895</v>
      </c>
      <c r="DJ11" s="35">
        <f t="shared" si="66"/>
        <v>9269.9416839</v>
      </c>
      <c r="DK11" s="35">
        <f t="shared" si="67"/>
        <v>96.3193281</v>
      </c>
      <c r="DL11" s="5"/>
      <c r="DM11" s="35">
        <f t="shared" si="131"/>
        <v>13348.14</v>
      </c>
      <c r="DN11" s="35">
        <f t="shared" si="68"/>
        <v>2526.22734</v>
      </c>
      <c r="DO11" s="35">
        <f t="shared" si="69"/>
        <v>15874.367339999999</v>
      </c>
      <c r="DP11" s="35">
        <f t="shared" si="70"/>
        <v>1280.1698988</v>
      </c>
      <c r="DQ11" s="35">
        <f t="shared" si="71"/>
        <v>13.3016052</v>
      </c>
      <c r="DR11" s="5"/>
      <c r="DS11" s="35">
        <f t="shared" si="132"/>
        <v>53322.799999999996</v>
      </c>
      <c r="DT11" s="35">
        <f t="shared" si="72"/>
        <v>10091.7068</v>
      </c>
      <c r="DU11" s="5">
        <f t="shared" si="73"/>
        <v>63414.506799999996</v>
      </c>
      <c r="DV11" s="35">
        <f t="shared" si="74"/>
        <v>5113.989176</v>
      </c>
      <c r="DW11" s="35">
        <f t="shared" si="75"/>
        <v>53.136903999999994</v>
      </c>
      <c r="DX11" s="5"/>
      <c r="DY11" s="35">
        <f t="shared" si="133"/>
        <v>428778.75</v>
      </c>
      <c r="DZ11" s="35">
        <f t="shared" si="76"/>
        <v>81149.32875</v>
      </c>
      <c r="EA11" s="35">
        <f t="shared" si="77"/>
        <v>509928.07875</v>
      </c>
      <c r="EB11" s="35">
        <f t="shared" si="78"/>
        <v>41122.557075</v>
      </c>
      <c r="EC11" s="35">
        <f t="shared" si="79"/>
        <v>427.28392499999995</v>
      </c>
      <c r="ED11" s="5"/>
      <c r="EE11" s="35">
        <f t="shared" si="134"/>
        <v>640557.575</v>
      </c>
      <c r="EF11" s="35">
        <f t="shared" si="80"/>
        <v>121229.928575</v>
      </c>
      <c r="EG11" s="5">
        <f t="shared" si="81"/>
        <v>761787.503575</v>
      </c>
      <c r="EH11" s="35">
        <f t="shared" si="82"/>
        <v>61433.4675815</v>
      </c>
      <c r="EI11" s="35">
        <f t="shared" si="83"/>
        <v>638.3244385</v>
      </c>
      <c r="EJ11" s="5"/>
      <c r="EK11" s="35">
        <f t="shared" si="135"/>
        <v>5338.82</v>
      </c>
      <c r="EL11" s="35">
        <f t="shared" si="84"/>
        <v>1010.40842</v>
      </c>
      <c r="EM11" s="5">
        <f t="shared" si="85"/>
        <v>6349.2284199999995</v>
      </c>
      <c r="EN11" s="35">
        <f t="shared" si="86"/>
        <v>512.0261444</v>
      </c>
      <c r="EO11" s="35">
        <f t="shared" si="87"/>
        <v>5.3202076</v>
      </c>
      <c r="EP11" s="5"/>
      <c r="EQ11" s="35">
        <f t="shared" si="136"/>
        <v>204714.535</v>
      </c>
      <c r="ER11" s="35">
        <f t="shared" si="88"/>
        <v>38743.634335</v>
      </c>
      <c r="ES11" s="5">
        <f t="shared" si="89"/>
        <v>243458.169335</v>
      </c>
      <c r="ET11" s="35">
        <f t="shared" si="90"/>
        <v>19633.4010247</v>
      </c>
      <c r="EU11" s="35">
        <f t="shared" si="91"/>
        <v>204.0008513</v>
      </c>
      <c r="EV11" s="5"/>
      <c r="EW11" s="35">
        <f t="shared" si="137"/>
        <v>341562.94499999995</v>
      </c>
      <c r="EX11" s="35">
        <f t="shared" si="92"/>
        <v>64643.137545</v>
      </c>
      <c r="EY11" s="5">
        <f t="shared" si="93"/>
        <v>406206.08254499995</v>
      </c>
      <c r="EZ11" s="35">
        <f t="shared" si="94"/>
        <v>32758.0172769</v>
      </c>
      <c r="FA11" s="35">
        <f t="shared" si="95"/>
        <v>340.3721751</v>
      </c>
      <c r="FB11" s="5"/>
      <c r="FC11" s="35">
        <f t="shared" si="138"/>
        <v>292425.745</v>
      </c>
      <c r="FD11" s="35">
        <f t="shared" si="96"/>
        <v>55343.584344999996</v>
      </c>
      <c r="FE11" s="5">
        <f t="shared" si="97"/>
        <v>347769.329345</v>
      </c>
      <c r="FF11" s="35">
        <f t="shared" si="98"/>
        <v>28045.4532529</v>
      </c>
      <c r="FG11" s="35">
        <f t="shared" si="99"/>
        <v>291.4062791</v>
      </c>
      <c r="FH11" s="5"/>
      <c r="FI11" s="35">
        <f t="shared" si="139"/>
        <v>289966.705</v>
      </c>
      <c r="FJ11" s="35">
        <f t="shared" si="100"/>
        <v>54878.194105</v>
      </c>
      <c r="FK11" s="5">
        <f t="shared" si="101"/>
        <v>344844.899105</v>
      </c>
      <c r="FL11" s="35">
        <f t="shared" si="102"/>
        <v>27809.615976099998</v>
      </c>
      <c r="FM11" s="35">
        <f t="shared" si="103"/>
        <v>288.9558119</v>
      </c>
      <c r="FN11" s="5"/>
      <c r="FO11" s="35">
        <f t="shared" si="140"/>
        <v>420438.06999999995</v>
      </c>
      <c r="FP11" s="35">
        <f t="shared" si="104"/>
        <v>79570.79767</v>
      </c>
      <c r="FQ11" s="35">
        <f t="shared" si="105"/>
        <v>500008.86766999995</v>
      </c>
      <c r="FR11" s="35">
        <f t="shared" si="106"/>
        <v>40322.633829399994</v>
      </c>
      <c r="FS11" s="35">
        <f t="shared" si="107"/>
        <v>418.9723226</v>
      </c>
      <c r="FT11" s="5"/>
      <c r="FU11" s="35">
        <f t="shared" si="141"/>
        <v>532553.29</v>
      </c>
      <c r="FV11" s="35">
        <f t="shared" si="108"/>
        <v>100789.37449</v>
      </c>
      <c r="FW11" s="35">
        <f t="shared" si="109"/>
        <v>633342.66449</v>
      </c>
      <c r="FX11" s="35">
        <f t="shared" si="110"/>
        <v>51075.1828618</v>
      </c>
      <c r="FY11" s="35">
        <f t="shared" si="111"/>
        <v>530.6966822</v>
      </c>
      <c r="FZ11" s="5"/>
      <c r="GA11" s="35">
        <f t="shared" si="142"/>
        <v>2457.405</v>
      </c>
      <c r="GB11" s="35">
        <f t="shared" si="112"/>
        <v>465.080805</v>
      </c>
      <c r="GC11" s="5">
        <f t="shared" si="113"/>
        <v>2922.4858050000003</v>
      </c>
      <c r="GD11" s="35">
        <f t="shared" si="114"/>
        <v>235.6804701</v>
      </c>
      <c r="GE11" s="35">
        <f t="shared" si="115"/>
        <v>2.4488379</v>
      </c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</row>
    <row r="12" spans="1:230" ht="12.75">
      <c r="A12" s="36">
        <v>45566</v>
      </c>
      <c r="D12" s="3">
        <v>922450</v>
      </c>
      <c r="E12" s="34">
        <f t="shared" si="0"/>
        <v>922450</v>
      </c>
      <c r="F12" s="34">
        <v>522689</v>
      </c>
      <c r="G12" s="34">
        <v>5431</v>
      </c>
      <c r="I12" s="35">
        <f>'2019C Academic'!I12</f>
        <v>0</v>
      </c>
      <c r="J12" s="35">
        <f>'2019C Academic'!J12</f>
        <v>205919.43594999998</v>
      </c>
      <c r="K12" s="35">
        <f t="shared" si="1"/>
        <v>205919.43594999998</v>
      </c>
      <c r="L12" s="35">
        <f>'2019C Academic'!L12</f>
        <v>116680.38815900001</v>
      </c>
      <c r="M12" s="35">
        <f>'2019C Academic'!M12</f>
        <v>1212.3675610000003</v>
      </c>
      <c r="O12" s="35"/>
      <c r="P12" s="34">
        <f t="shared" si="2"/>
        <v>716530.56405</v>
      </c>
      <c r="Q12" s="5">
        <f t="shared" si="3"/>
        <v>716530.56405</v>
      </c>
      <c r="R12" s="34">
        <f t="shared" si="4"/>
        <v>406008.61184100003</v>
      </c>
      <c r="S12" s="34">
        <f t="shared" si="4"/>
        <v>4218.1333301</v>
      </c>
      <c r="U12" s="35"/>
      <c r="V12" s="35">
        <f t="shared" si="5"/>
        <v>200.35613999999998</v>
      </c>
      <c r="W12" s="5">
        <f t="shared" si="6"/>
        <v>200.35613999999998</v>
      </c>
      <c r="X12" s="35">
        <f t="shared" si="7"/>
        <v>113.5280508</v>
      </c>
      <c r="Y12" s="35">
        <f t="shared" si="8"/>
        <v>1.1796132</v>
      </c>
      <c r="AA12" s="35"/>
      <c r="AB12" s="35">
        <f t="shared" si="9"/>
        <v>21321.970525</v>
      </c>
      <c r="AC12" s="5">
        <f t="shared" si="10"/>
        <v>21321.970525</v>
      </c>
      <c r="AD12" s="35">
        <f t="shared" si="11"/>
        <v>12081.694890499999</v>
      </c>
      <c r="AE12" s="35">
        <f t="shared" si="12"/>
        <v>125.53484949999999</v>
      </c>
      <c r="AG12" s="35"/>
      <c r="AH12" s="35">
        <f t="shared" si="13"/>
        <v>1308.310835</v>
      </c>
      <c r="AI12" s="35">
        <f t="shared" si="14"/>
        <v>1308.310835</v>
      </c>
      <c r="AJ12" s="35">
        <f t="shared" si="15"/>
        <v>741.3298087</v>
      </c>
      <c r="AK12" s="35">
        <f t="shared" si="16"/>
        <v>7.7027873</v>
      </c>
      <c r="AM12" s="35"/>
      <c r="AN12" s="35">
        <f t="shared" si="17"/>
        <v>9462.399855</v>
      </c>
      <c r="AO12" s="5">
        <f t="shared" si="18"/>
        <v>9462.399855</v>
      </c>
      <c r="AP12" s="35">
        <f t="shared" si="19"/>
        <v>5361.6914931</v>
      </c>
      <c r="AQ12" s="35">
        <f t="shared" si="20"/>
        <v>55.7106549</v>
      </c>
      <c r="AS12" s="35"/>
      <c r="AT12" s="35">
        <f t="shared" si="21"/>
        <v>7484.39032</v>
      </c>
      <c r="AU12" s="5">
        <f t="shared" si="22"/>
        <v>7484.39032</v>
      </c>
      <c r="AV12" s="35">
        <f t="shared" si="23"/>
        <v>4240.8894704</v>
      </c>
      <c r="AW12" s="35">
        <f t="shared" si="24"/>
        <v>44.064961600000004</v>
      </c>
      <c r="AY12" s="35"/>
      <c r="AZ12" s="35">
        <f t="shared" si="25"/>
        <v>1996.55078</v>
      </c>
      <c r="BA12" s="5">
        <f t="shared" si="26"/>
        <v>1996.55078</v>
      </c>
      <c r="BB12" s="35">
        <f t="shared" si="27"/>
        <v>1131.3080716</v>
      </c>
      <c r="BC12" s="35">
        <f t="shared" si="28"/>
        <v>11.7548564</v>
      </c>
      <c r="BE12" s="35"/>
      <c r="BF12" s="35">
        <f t="shared" si="29"/>
        <v>22575.303340000002</v>
      </c>
      <c r="BG12" s="5">
        <f t="shared" si="30"/>
        <v>22575.303340000002</v>
      </c>
      <c r="BH12" s="35">
        <f t="shared" si="31"/>
        <v>12791.8724348</v>
      </c>
      <c r="BI12" s="35">
        <f t="shared" si="32"/>
        <v>132.9139492</v>
      </c>
      <c r="BJ12" s="5"/>
      <c r="BK12" s="35"/>
      <c r="BL12" s="35">
        <f t="shared" si="33"/>
        <v>396.930235</v>
      </c>
      <c r="BM12" s="5">
        <f t="shared" si="34"/>
        <v>396.930235</v>
      </c>
      <c r="BN12" s="35">
        <f t="shared" si="35"/>
        <v>224.9130767</v>
      </c>
      <c r="BO12" s="35">
        <f t="shared" si="36"/>
        <v>2.3369593</v>
      </c>
      <c r="BP12" s="5"/>
      <c r="BQ12" s="35"/>
      <c r="BR12" s="35">
        <f t="shared" si="37"/>
        <v>84.773155</v>
      </c>
      <c r="BS12" s="5">
        <f t="shared" si="38"/>
        <v>84.773155</v>
      </c>
      <c r="BT12" s="35">
        <f t="shared" si="39"/>
        <v>48.035119099999996</v>
      </c>
      <c r="BU12" s="35"/>
      <c r="BV12" s="5"/>
      <c r="BW12" s="35"/>
      <c r="BX12" s="35">
        <f t="shared" si="40"/>
        <v>81077.8203</v>
      </c>
      <c r="BY12" s="5">
        <f t="shared" si="41"/>
        <v>81077.8203</v>
      </c>
      <c r="BZ12" s="35">
        <f t="shared" si="42"/>
        <v>45941.226966</v>
      </c>
      <c r="CA12" s="35">
        <f t="shared" si="43"/>
        <v>477.352314</v>
      </c>
      <c r="CB12" s="5"/>
      <c r="CC12" s="35"/>
      <c r="CD12" s="35">
        <f t="shared" si="44"/>
        <v>156.355275</v>
      </c>
      <c r="CE12" s="5">
        <f t="shared" si="45"/>
        <v>156.355275</v>
      </c>
      <c r="CF12" s="35">
        <f t="shared" si="46"/>
        <v>88.5957855</v>
      </c>
      <c r="CG12" s="35">
        <f t="shared" si="47"/>
        <v>0.9205545</v>
      </c>
      <c r="CH12" s="5"/>
      <c r="CI12" s="35"/>
      <c r="CJ12" s="35">
        <f t="shared" si="48"/>
        <v>92.890715</v>
      </c>
      <c r="CK12" s="5">
        <f t="shared" si="49"/>
        <v>92.890715</v>
      </c>
      <c r="CL12" s="35">
        <f t="shared" si="50"/>
        <v>52.6347823</v>
      </c>
      <c r="CM12" s="35">
        <f t="shared" si="51"/>
        <v>0.5469016999999999</v>
      </c>
      <c r="CN12" s="5"/>
      <c r="CO12" s="35"/>
      <c r="CP12" s="35">
        <f t="shared" si="52"/>
        <v>5795.9378400000005</v>
      </c>
      <c r="CQ12" s="5">
        <f t="shared" si="53"/>
        <v>5795.9378400000005</v>
      </c>
      <c r="CR12" s="35">
        <f t="shared" si="54"/>
        <v>3284.1595248</v>
      </c>
      <c r="CS12" s="35">
        <f t="shared" si="55"/>
        <v>34.1240592</v>
      </c>
      <c r="CT12" s="5"/>
      <c r="CU12" s="35"/>
      <c r="CV12" s="35">
        <f t="shared" si="56"/>
        <v>612.2300650000001</v>
      </c>
      <c r="CW12" s="5">
        <f t="shared" si="57"/>
        <v>612.2300650000001</v>
      </c>
      <c r="CX12" s="35">
        <f t="shared" si="58"/>
        <v>346.9086893</v>
      </c>
      <c r="CY12" s="35">
        <f t="shared" si="59"/>
        <v>3.6045547</v>
      </c>
      <c r="CZ12" s="5"/>
      <c r="DA12" s="35"/>
      <c r="DB12" s="35">
        <f t="shared" si="60"/>
        <v>1672.494095</v>
      </c>
      <c r="DC12" s="5">
        <f t="shared" si="61"/>
        <v>1672.494095</v>
      </c>
      <c r="DD12" s="35">
        <f t="shared" si="62"/>
        <v>947.6874259</v>
      </c>
      <c r="DE12" s="35">
        <f t="shared" si="63"/>
        <v>9.8469461</v>
      </c>
      <c r="DF12" s="5"/>
      <c r="DG12" s="35"/>
      <c r="DH12" s="35">
        <f t="shared" si="64"/>
        <v>16359.742995</v>
      </c>
      <c r="DI12" s="35">
        <f t="shared" si="65"/>
        <v>16359.742995</v>
      </c>
      <c r="DJ12" s="35">
        <f t="shared" si="66"/>
        <v>9269.9416839</v>
      </c>
      <c r="DK12" s="35">
        <f t="shared" si="67"/>
        <v>96.3193281</v>
      </c>
      <c r="DL12" s="5"/>
      <c r="DM12" s="35"/>
      <c r="DN12" s="35">
        <f t="shared" si="68"/>
        <v>2259.26454</v>
      </c>
      <c r="DO12" s="35">
        <f t="shared" si="69"/>
        <v>2259.26454</v>
      </c>
      <c r="DP12" s="35">
        <f t="shared" si="70"/>
        <v>1280.1698988</v>
      </c>
      <c r="DQ12" s="35">
        <f t="shared" si="71"/>
        <v>13.3016052</v>
      </c>
      <c r="DR12" s="5"/>
      <c r="DS12" s="35"/>
      <c r="DT12" s="35">
        <f t="shared" si="72"/>
        <v>9025.2508</v>
      </c>
      <c r="DU12" s="5">
        <f t="shared" si="73"/>
        <v>9025.2508</v>
      </c>
      <c r="DV12" s="35">
        <f t="shared" si="74"/>
        <v>5113.989176</v>
      </c>
      <c r="DW12" s="35">
        <f t="shared" si="75"/>
        <v>53.136903999999994</v>
      </c>
      <c r="DX12" s="5"/>
      <c r="DY12" s="35"/>
      <c r="DZ12" s="35">
        <f t="shared" si="76"/>
        <v>72573.75374999999</v>
      </c>
      <c r="EA12" s="35">
        <f t="shared" si="77"/>
        <v>72573.75374999999</v>
      </c>
      <c r="EB12" s="35">
        <f t="shared" si="78"/>
        <v>41122.557075</v>
      </c>
      <c r="EC12" s="35">
        <f t="shared" si="79"/>
        <v>427.28392499999995</v>
      </c>
      <c r="ED12" s="5"/>
      <c r="EE12" s="35"/>
      <c r="EF12" s="35">
        <f t="shared" si="80"/>
        <v>108418.777075</v>
      </c>
      <c r="EG12" s="5">
        <f t="shared" si="81"/>
        <v>108418.777075</v>
      </c>
      <c r="EH12" s="35">
        <f t="shared" si="82"/>
        <v>61433.4675815</v>
      </c>
      <c r="EI12" s="35">
        <f t="shared" si="83"/>
        <v>638.3244385</v>
      </c>
      <c r="EJ12" s="5"/>
      <c r="EK12" s="35"/>
      <c r="EL12" s="35">
        <f t="shared" si="84"/>
        <v>903.63202</v>
      </c>
      <c r="EM12" s="5">
        <f t="shared" si="85"/>
        <v>903.63202</v>
      </c>
      <c r="EN12" s="35">
        <f t="shared" si="86"/>
        <v>512.0261444</v>
      </c>
      <c r="EO12" s="35">
        <f t="shared" si="87"/>
        <v>5.3202076</v>
      </c>
      <c r="EP12" s="5"/>
      <c r="EQ12" s="35"/>
      <c r="ER12" s="35">
        <f t="shared" si="88"/>
        <v>34649.343635</v>
      </c>
      <c r="ES12" s="5">
        <f t="shared" si="89"/>
        <v>34649.343635</v>
      </c>
      <c r="ET12" s="35">
        <f t="shared" si="90"/>
        <v>19633.4010247</v>
      </c>
      <c r="EU12" s="35">
        <f t="shared" si="91"/>
        <v>204.0008513</v>
      </c>
      <c r="EV12" s="5"/>
      <c r="EW12" s="35"/>
      <c r="EX12" s="35">
        <f t="shared" si="92"/>
        <v>57811.878645</v>
      </c>
      <c r="EY12" s="5">
        <f t="shared" si="93"/>
        <v>57811.878645</v>
      </c>
      <c r="EZ12" s="35">
        <f t="shared" si="94"/>
        <v>32758.0172769</v>
      </c>
      <c r="FA12" s="35">
        <f t="shared" si="95"/>
        <v>340.3721751</v>
      </c>
      <c r="FB12" s="5"/>
      <c r="FC12" s="35"/>
      <c r="FD12" s="35">
        <f t="shared" si="96"/>
        <v>49495.069445</v>
      </c>
      <c r="FE12" s="5">
        <f t="shared" si="97"/>
        <v>49495.069445</v>
      </c>
      <c r="FF12" s="35">
        <f t="shared" si="98"/>
        <v>28045.4532529</v>
      </c>
      <c r="FG12" s="35">
        <f t="shared" si="99"/>
        <v>291.4062791</v>
      </c>
      <c r="FH12" s="5"/>
      <c r="FI12" s="35"/>
      <c r="FJ12" s="35">
        <f t="shared" si="100"/>
        <v>49078.860005</v>
      </c>
      <c r="FK12" s="5">
        <f t="shared" si="101"/>
        <v>49078.860005</v>
      </c>
      <c r="FL12" s="35">
        <f t="shared" si="102"/>
        <v>27809.615976099998</v>
      </c>
      <c r="FM12" s="35">
        <f t="shared" si="103"/>
        <v>288.9558119</v>
      </c>
      <c r="FN12" s="5"/>
      <c r="FO12" s="35"/>
      <c r="FP12" s="35">
        <f t="shared" si="104"/>
        <v>71162.03627</v>
      </c>
      <c r="FQ12" s="35">
        <f t="shared" si="105"/>
        <v>71162.03627</v>
      </c>
      <c r="FR12" s="35">
        <f t="shared" si="106"/>
        <v>40322.633829399994</v>
      </c>
      <c r="FS12" s="35">
        <f t="shared" si="107"/>
        <v>418.9723226</v>
      </c>
      <c r="FT12" s="5"/>
      <c r="FU12" s="35"/>
      <c r="FV12" s="35">
        <f t="shared" si="108"/>
        <v>90138.30869</v>
      </c>
      <c r="FW12" s="35">
        <f t="shared" si="109"/>
        <v>90138.30869</v>
      </c>
      <c r="FX12" s="35">
        <f t="shared" si="110"/>
        <v>51075.1828618</v>
      </c>
      <c r="FY12" s="35">
        <f t="shared" si="111"/>
        <v>530.6966822</v>
      </c>
      <c r="FZ12" s="5"/>
      <c r="GA12" s="35"/>
      <c r="GB12" s="35">
        <f t="shared" si="112"/>
        <v>415.932705</v>
      </c>
      <c r="GC12" s="5">
        <f t="shared" si="113"/>
        <v>415.932705</v>
      </c>
      <c r="GD12" s="35">
        <f t="shared" si="114"/>
        <v>235.6804701</v>
      </c>
      <c r="GE12" s="35">
        <f t="shared" si="115"/>
        <v>2.4488379</v>
      </c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</row>
    <row r="13" spans="1:230" ht="12.75">
      <c r="A13" s="36">
        <v>45748</v>
      </c>
      <c r="C13" s="3">
        <v>5660000</v>
      </c>
      <c r="D13" s="3">
        <v>922450</v>
      </c>
      <c r="E13" s="34">
        <f t="shared" si="0"/>
        <v>6582450</v>
      </c>
      <c r="F13" s="34">
        <v>522689</v>
      </c>
      <c r="G13" s="34">
        <v>5431</v>
      </c>
      <c r="I13" s="35">
        <f>'2019C Academic'!I13</f>
        <v>1263487.46</v>
      </c>
      <c r="J13" s="35">
        <f>'2019C Academic'!J13</f>
        <v>205919.43594999998</v>
      </c>
      <c r="K13" s="35">
        <f t="shared" si="1"/>
        <v>1469406.89595</v>
      </c>
      <c r="L13" s="35">
        <f>'2019C Academic'!L13</f>
        <v>116680.38815900001</v>
      </c>
      <c r="M13" s="35">
        <f>'2019C Academic'!M13</f>
        <v>1212.3675610000003</v>
      </c>
      <c r="O13" s="35">
        <f>U13+AA13+AG13+AM13+AS13+AY13+BE13+BK13+BQ13+BW13+CC13+CI13+CO13+CU13+DG13+DM13+DS13+DY13+EE13+EK13+EQ13+EW13+FC13+FI13+DA13+FO13+FU13+GA13+GG13</f>
        <v>4396512.539999999</v>
      </c>
      <c r="P13" s="34">
        <f t="shared" si="2"/>
        <v>716530.56405</v>
      </c>
      <c r="Q13" s="5">
        <f t="shared" si="3"/>
        <v>5113043.104049999</v>
      </c>
      <c r="R13" s="34">
        <f t="shared" si="4"/>
        <v>406008.61184100003</v>
      </c>
      <c r="S13" s="34">
        <f t="shared" si="4"/>
        <v>4218.1333301</v>
      </c>
      <c r="U13" s="35">
        <f t="shared" si="116"/>
        <v>1229.3519999999999</v>
      </c>
      <c r="V13" s="35">
        <f t="shared" si="5"/>
        <v>200.35613999999998</v>
      </c>
      <c r="W13" s="5">
        <f t="shared" si="6"/>
        <v>1429.7081399999997</v>
      </c>
      <c r="X13" s="35">
        <f t="shared" si="7"/>
        <v>113.5280508</v>
      </c>
      <c r="Y13" s="35">
        <f t="shared" si="8"/>
        <v>1.1796132</v>
      </c>
      <c r="AA13" s="35">
        <f t="shared" si="117"/>
        <v>130828.06999999999</v>
      </c>
      <c r="AB13" s="35">
        <f t="shared" si="9"/>
        <v>21321.970525</v>
      </c>
      <c r="AC13" s="5">
        <f t="shared" si="10"/>
        <v>152150.040525</v>
      </c>
      <c r="AD13" s="35">
        <f t="shared" si="11"/>
        <v>12081.694890499999</v>
      </c>
      <c r="AE13" s="35">
        <f t="shared" si="12"/>
        <v>125.53484949999999</v>
      </c>
      <c r="AG13" s="35">
        <f t="shared" si="118"/>
        <v>8027.5779999999995</v>
      </c>
      <c r="AH13" s="35">
        <f t="shared" si="13"/>
        <v>1308.310835</v>
      </c>
      <c r="AI13" s="35">
        <f t="shared" si="14"/>
        <v>9335.888835</v>
      </c>
      <c r="AJ13" s="35">
        <f t="shared" si="15"/>
        <v>741.3298087</v>
      </c>
      <c r="AK13" s="35">
        <f t="shared" si="16"/>
        <v>7.7027873</v>
      </c>
      <c r="AM13" s="35">
        <f t="shared" si="119"/>
        <v>58059.714</v>
      </c>
      <c r="AN13" s="35">
        <f t="shared" si="17"/>
        <v>9462.399855</v>
      </c>
      <c r="AO13" s="5">
        <f t="shared" si="18"/>
        <v>67522.113855</v>
      </c>
      <c r="AP13" s="35">
        <f t="shared" si="19"/>
        <v>5361.6914931</v>
      </c>
      <c r="AQ13" s="35">
        <f t="shared" si="20"/>
        <v>55.7106549</v>
      </c>
      <c r="AS13" s="35">
        <f t="shared" si="120"/>
        <v>45922.976</v>
      </c>
      <c r="AT13" s="35">
        <f t="shared" si="21"/>
        <v>7484.39032</v>
      </c>
      <c r="AU13" s="5">
        <f t="shared" si="22"/>
        <v>53407.36632</v>
      </c>
      <c r="AV13" s="35">
        <f t="shared" si="23"/>
        <v>4240.8894704</v>
      </c>
      <c r="AW13" s="35">
        <f t="shared" si="24"/>
        <v>44.064961600000004</v>
      </c>
      <c r="AY13" s="35">
        <f t="shared" si="121"/>
        <v>12250.503999999999</v>
      </c>
      <c r="AZ13" s="35">
        <f t="shared" si="25"/>
        <v>1996.55078</v>
      </c>
      <c r="BA13" s="5">
        <f t="shared" si="26"/>
        <v>14247.054779999999</v>
      </c>
      <c r="BB13" s="35">
        <f t="shared" si="27"/>
        <v>1131.3080716</v>
      </c>
      <c r="BC13" s="35">
        <f t="shared" si="28"/>
        <v>11.7548564</v>
      </c>
      <c r="BE13" s="35">
        <f t="shared" si="122"/>
        <v>138518.312</v>
      </c>
      <c r="BF13" s="35">
        <f t="shared" si="29"/>
        <v>22575.303340000002</v>
      </c>
      <c r="BG13" s="5">
        <f t="shared" si="30"/>
        <v>161093.61534000002</v>
      </c>
      <c r="BH13" s="35">
        <f t="shared" si="31"/>
        <v>12791.8724348</v>
      </c>
      <c r="BI13" s="35">
        <f t="shared" si="32"/>
        <v>132.9139492</v>
      </c>
      <c r="BJ13" s="5"/>
      <c r="BK13" s="35">
        <f t="shared" si="123"/>
        <v>2435.498</v>
      </c>
      <c r="BL13" s="35">
        <f t="shared" si="33"/>
        <v>396.930235</v>
      </c>
      <c r="BM13" s="5">
        <f t="shared" si="34"/>
        <v>2832.428235</v>
      </c>
      <c r="BN13" s="35">
        <f t="shared" si="35"/>
        <v>224.9130767</v>
      </c>
      <c r="BO13" s="35">
        <f t="shared" si="36"/>
        <v>2.3369593</v>
      </c>
      <c r="BP13" s="5"/>
      <c r="BQ13" s="35">
        <f t="shared" si="124"/>
        <v>520.154</v>
      </c>
      <c r="BR13" s="35">
        <f t="shared" si="37"/>
        <v>84.773155</v>
      </c>
      <c r="BS13" s="5">
        <f t="shared" si="38"/>
        <v>604.927155</v>
      </c>
      <c r="BT13" s="35">
        <f t="shared" si="39"/>
        <v>48.035119099999996</v>
      </c>
      <c r="BU13" s="35"/>
      <c r="BV13" s="5"/>
      <c r="BW13" s="35">
        <f t="shared" si="125"/>
        <v>497480.04</v>
      </c>
      <c r="BX13" s="35">
        <f t="shared" si="40"/>
        <v>81077.8203</v>
      </c>
      <c r="BY13" s="5">
        <f t="shared" si="41"/>
        <v>578557.8603</v>
      </c>
      <c r="BZ13" s="35">
        <f t="shared" si="42"/>
        <v>45941.226966</v>
      </c>
      <c r="CA13" s="35">
        <f t="shared" si="43"/>
        <v>477.352314</v>
      </c>
      <c r="CB13" s="5"/>
      <c r="CC13" s="35">
        <f t="shared" si="126"/>
        <v>959.37</v>
      </c>
      <c r="CD13" s="35">
        <f t="shared" si="44"/>
        <v>156.355275</v>
      </c>
      <c r="CE13" s="5">
        <f t="shared" si="45"/>
        <v>1115.725275</v>
      </c>
      <c r="CF13" s="35">
        <f t="shared" si="46"/>
        <v>88.5957855</v>
      </c>
      <c r="CG13" s="35">
        <f t="shared" si="47"/>
        <v>0.9205545</v>
      </c>
      <c r="CH13" s="5"/>
      <c r="CI13" s="35">
        <f t="shared" si="127"/>
        <v>569.962</v>
      </c>
      <c r="CJ13" s="35">
        <f t="shared" si="48"/>
        <v>92.890715</v>
      </c>
      <c r="CK13" s="5">
        <f t="shared" si="49"/>
        <v>662.852715</v>
      </c>
      <c r="CL13" s="35">
        <f t="shared" si="50"/>
        <v>52.6347823</v>
      </c>
      <c r="CM13" s="35">
        <f t="shared" si="51"/>
        <v>0.5469016999999999</v>
      </c>
      <c r="CN13" s="5"/>
      <c r="CO13" s="35">
        <f t="shared" si="128"/>
        <v>35562.912000000004</v>
      </c>
      <c r="CP13" s="35">
        <f t="shared" si="52"/>
        <v>5795.9378400000005</v>
      </c>
      <c r="CQ13" s="5">
        <f t="shared" si="53"/>
        <v>41358.84984</v>
      </c>
      <c r="CR13" s="35">
        <f t="shared" si="54"/>
        <v>3284.1595248</v>
      </c>
      <c r="CS13" s="35">
        <f t="shared" si="55"/>
        <v>34.1240592</v>
      </c>
      <c r="CT13" s="5"/>
      <c r="CU13" s="35">
        <f t="shared" si="129"/>
        <v>3756.5420000000004</v>
      </c>
      <c r="CV13" s="35">
        <f t="shared" si="56"/>
        <v>612.2300650000001</v>
      </c>
      <c r="CW13" s="5">
        <f t="shared" si="57"/>
        <v>4368.772065</v>
      </c>
      <c r="CX13" s="35">
        <f t="shared" si="58"/>
        <v>346.9086893</v>
      </c>
      <c r="CY13" s="35">
        <f t="shared" si="59"/>
        <v>3.6045547</v>
      </c>
      <c r="CZ13" s="5"/>
      <c r="DA13" s="35">
        <f>$C13*DB$6</f>
        <v>10262.146</v>
      </c>
      <c r="DB13" s="35">
        <f t="shared" si="60"/>
        <v>1672.494095</v>
      </c>
      <c r="DC13" s="5">
        <f t="shared" si="61"/>
        <v>11934.640095</v>
      </c>
      <c r="DD13" s="35">
        <f t="shared" si="62"/>
        <v>947.6874259</v>
      </c>
      <c r="DE13" s="35">
        <f t="shared" si="63"/>
        <v>9.8469461</v>
      </c>
      <c r="DF13" s="5"/>
      <c r="DG13" s="35">
        <f t="shared" si="130"/>
        <v>100380.666</v>
      </c>
      <c r="DH13" s="35">
        <f t="shared" si="64"/>
        <v>16359.742995</v>
      </c>
      <c r="DI13" s="35">
        <f t="shared" si="65"/>
        <v>116740.408995</v>
      </c>
      <c r="DJ13" s="35">
        <f t="shared" si="66"/>
        <v>9269.9416839</v>
      </c>
      <c r="DK13" s="35">
        <f t="shared" si="67"/>
        <v>96.3193281</v>
      </c>
      <c r="DL13" s="5"/>
      <c r="DM13" s="35">
        <f t="shared" si="131"/>
        <v>13862.472</v>
      </c>
      <c r="DN13" s="35">
        <f t="shared" si="68"/>
        <v>2259.26454</v>
      </c>
      <c r="DO13" s="35">
        <f t="shared" si="69"/>
        <v>16121.73654</v>
      </c>
      <c r="DP13" s="35">
        <f t="shared" si="70"/>
        <v>1280.1698988</v>
      </c>
      <c r="DQ13" s="35">
        <f t="shared" si="71"/>
        <v>13.3016052</v>
      </c>
      <c r="DR13" s="5"/>
      <c r="DS13" s="35">
        <f t="shared" si="132"/>
        <v>55377.439999999995</v>
      </c>
      <c r="DT13" s="35">
        <f t="shared" si="72"/>
        <v>9025.2508</v>
      </c>
      <c r="DU13" s="5">
        <f t="shared" si="73"/>
        <v>64402.6908</v>
      </c>
      <c r="DV13" s="35">
        <f t="shared" si="74"/>
        <v>5113.989176</v>
      </c>
      <c r="DW13" s="35">
        <f t="shared" si="75"/>
        <v>53.136903999999994</v>
      </c>
      <c r="DX13" s="5"/>
      <c r="DY13" s="35">
        <f t="shared" si="133"/>
        <v>445300.5</v>
      </c>
      <c r="DZ13" s="35">
        <f t="shared" si="76"/>
        <v>72573.75374999999</v>
      </c>
      <c r="EA13" s="35">
        <f t="shared" si="77"/>
        <v>517874.25375</v>
      </c>
      <c r="EB13" s="35">
        <f t="shared" si="78"/>
        <v>41122.557075</v>
      </c>
      <c r="EC13" s="35">
        <f t="shared" si="79"/>
        <v>427.28392499999995</v>
      </c>
      <c r="ED13" s="5"/>
      <c r="EE13" s="35">
        <f t="shared" si="134"/>
        <v>665239.61</v>
      </c>
      <c r="EF13" s="35">
        <f t="shared" si="80"/>
        <v>108418.777075</v>
      </c>
      <c r="EG13" s="5">
        <f t="shared" si="81"/>
        <v>773658.387075</v>
      </c>
      <c r="EH13" s="35">
        <f t="shared" si="82"/>
        <v>61433.4675815</v>
      </c>
      <c r="EI13" s="35">
        <f t="shared" si="83"/>
        <v>638.3244385</v>
      </c>
      <c r="EJ13" s="5"/>
      <c r="EK13" s="35">
        <f t="shared" si="135"/>
        <v>5544.536</v>
      </c>
      <c r="EL13" s="35">
        <f t="shared" si="84"/>
        <v>903.63202</v>
      </c>
      <c r="EM13" s="5">
        <f t="shared" si="85"/>
        <v>6448.16802</v>
      </c>
      <c r="EN13" s="35">
        <f t="shared" si="86"/>
        <v>512.0261444</v>
      </c>
      <c r="EO13" s="35">
        <f t="shared" si="87"/>
        <v>5.3202076</v>
      </c>
      <c r="EP13" s="5"/>
      <c r="EQ13" s="35">
        <f t="shared" si="136"/>
        <v>212602.618</v>
      </c>
      <c r="ER13" s="35">
        <f t="shared" si="88"/>
        <v>34649.343635</v>
      </c>
      <c r="ES13" s="5">
        <f t="shared" si="89"/>
        <v>247251.96163499999</v>
      </c>
      <c r="ET13" s="35">
        <f t="shared" si="90"/>
        <v>19633.4010247</v>
      </c>
      <c r="EU13" s="35">
        <f t="shared" si="91"/>
        <v>204.0008513</v>
      </c>
      <c r="EV13" s="5"/>
      <c r="EW13" s="35">
        <f t="shared" si="137"/>
        <v>354724.08599999995</v>
      </c>
      <c r="EX13" s="35">
        <f t="shared" si="92"/>
        <v>57811.878645</v>
      </c>
      <c r="EY13" s="5">
        <f t="shared" si="93"/>
        <v>412535.96464499994</v>
      </c>
      <c r="EZ13" s="35">
        <f t="shared" si="94"/>
        <v>32758.0172769</v>
      </c>
      <c r="FA13" s="35">
        <f t="shared" si="95"/>
        <v>340.3721751</v>
      </c>
      <c r="FB13" s="5"/>
      <c r="FC13" s="35">
        <f t="shared" si="138"/>
        <v>303693.526</v>
      </c>
      <c r="FD13" s="35">
        <f t="shared" si="96"/>
        <v>49495.069445</v>
      </c>
      <c r="FE13" s="5">
        <f t="shared" si="97"/>
        <v>353188.595445</v>
      </c>
      <c r="FF13" s="35">
        <f t="shared" si="98"/>
        <v>28045.4532529</v>
      </c>
      <c r="FG13" s="35">
        <f t="shared" si="99"/>
        <v>291.4062791</v>
      </c>
      <c r="FH13" s="5"/>
      <c r="FI13" s="35">
        <f t="shared" si="139"/>
        <v>301139.734</v>
      </c>
      <c r="FJ13" s="35">
        <f t="shared" si="100"/>
        <v>49078.860005</v>
      </c>
      <c r="FK13" s="5">
        <f t="shared" si="101"/>
        <v>350218.594005</v>
      </c>
      <c r="FL13" s="35">
        <f t="shared" si="102"/>
        <v>27809.615976099998</v>
      </c>
      <c r="FM13" s="35">
        <f t="shared" si="103"/>
        <v>288.9558119</v>
      </c>
      <c r="FN13" s="5"/>
      <c r="FO13" s="35">
        <f t="shared" si="140"/>
        <v>436638.436</v>
      </c>
      <c r="FP13" s="35">
        <f t="shared" si="104"/>
        <v>71162.03627</v>
      </c>
      <c r="FQ13" s="35">
        <f t="shared" si="105"/>
        <v>507800.47226999997</v>
      </c>
      <c r="FR13" s="35">
        <f t="shared" si="106"/>
        <v>40322.633829399994</v>
      </c>
      <c r="FS13" s="35">
        <f t="shared" si="107"/>
        <v>418.9723226</v>
      </c>
      <c r="FT13" s="5"/>
      <c r="FU13" s="35">
        <f t="shared" si="141"/>
        <v>553073.692</v>
      </c>
      <c r="FV13" s="35">
        <f t="shared" si="108"/>
        <v>90138.30869</v>
      </c>
      <c r="FW13" s="35">
        <f t="shared" si="109"/>
        <v>643212.00069</v>
      </c>
      <c r="FX13" s="35">
        <f t="shared" si="110"/>
        <v>51075.1828618</v>
      </c>
      <c r="FY13" s="35">
        <f t="shared" si="111"/>
        <v>530.6966822</v>
      </c>
      <c r="FZ13" s="5"/>
      <c r="GA13" s="35">
        <f t="shared" si="142"/>
        <v>2552.094</v>
      </c>
      <c r="GB13" s="35">
        <f t="shared" si="112"/>
        <v>415.932705</v>
      </c>
      <c r="GC13" s="5">
        <f t="shared" si="113"/>
        <v>2968.026705</v>
      </c>
      <c r="GD13" s="35">
        <f t="shared" si="114"/>
        <v>235.6804701</v>
      </c>
      <c r="GE13" s="35">
        <f t="shared" si="115"/>
        <v>2.4488379</v>
      </c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</row>
    <row r="14" spans="1:230" ht="12.75">
      <c r="A14" s="36">
        <v>45931</v>
      </c>
      <c r="D14" s="3">
        <v>809250</v>
      </c>
      <c r="E14" s="34">
        <f t="shared" si="0"/>
        <v>809250</v>
      </c>
      <c r="F14" s="34">
        <v>522689</v>
      </c>
      <c r="G14" s="34">
        <v>5431</v>
      </c>
      <c r="I14" s="35">
        <f>'2019C Academic'!I14</f>
        <v>0</v>
      </c>
      <c r="J14" s="35">
        <f>'2019C Academic'!J14</f>
        <v>180649.68675</v>
      </c>
      <c r="K14" s="35">
        <f t="shared" si="1"/>
        <v>180649.68675</v>
      </c>
      <c r="L14" s="35">
        <f>'2019C Academic'!L14</f>
        <v>116680.38815900001</v>
      </c>
      <c r="M14" s="35">
        <f>'2019C Academic'!M14</f>
        <v>1212.3675610000003</v>
      </c>
      <c r="O14" s="35"/>
      <c r="P14" s="34">
        <f t="shared" si="2"/>
        <v>628600.3132499999</v>
      </c>
      <c r="Q14" s="5">
        <f t="shared" si="3"/>
        <v>628600.3132499999</v>
      </c>
      <c r="R14" s="34">
        <f t="shared" si="4"/>
        <v>406008.61184100003</v>
      </c>
      <c r="S14" s="34">
        <f t="shared" si="4"/>
        <v>4218.1333301</v>
      </c>
      <c r="U14" s="35"/>
      <c r="V14" s="35">
        <f t="shared" si="5"/>
        <v>175.7691</v>
      </c>
      <c r="W14" s="5">
        <f t="shared" si="6"/>
        <v>175.7691</v>
      </c>
      <c r="X14" s="35">
        <f t="shared" si="7"/>
        <v>113.5280508</v>
      </c>
      <c r="Y14" s="35">
        <f t="shared" si="8"/>
        <v>1.1796132</v>
      </c>
      <c r="AA14" s="35"/>
      <c r="AB14" s="35">
        <f t="shared" si="9"/>
        <v>18705.409125</v>
      </c>
      <c r="AC14" s="5">
        <f t="shared" si="10"/>
        <v>18705.409125</v>
      </c>
      <c r="AD14" s="35">
        <f t="shared" si="11"/>
        <v>12081.694890499999</v>
      </c>
      <c r="AE14" s="35">
        <f t="shared" si="12"/>
        <v>125.53484949999999</v>
      </c>
      <c r="AG14" s="35"/>
      <c r="AH14" s="35">
        <f t="shared" si="13"/>
        <v>1147.759275</v>
      </c>
      <c r="AI14" s="35">
        <f t="shared" si="14"/>
        <v>1147.759275</v>
      </c>
      <c r="AJ14" s="35">
        <f t="shared" si="15"/>
        <v>741.3298087</v>
      </c>
      <c r="AK14" s="35">
        <f t="shared" si="16"/>
        <v>7.7027873</v>
      </c>
      <c r="AM14" s="35"/>
      <c r="AN14" s="35">
        <f t="shared" si="17"/>
        <v>8301.205575</v>
      </c>
      <c r="AO14" s="5">
        <f t="shared" si="18"/>
        <v>8301.205575</v>
      </c>
      <c r="AP14" s="35">
        <f t="shared" si="19"/>
        <v>5361.6914931</v>
      </c>
      <c r="AQ14" s="35">
        <f t="shared" si="20"/>
        <v>55.7106549</v>
      </c>
      <c r="AS14" s="35"/>
      <c r="AT14" s="35">
        <f t="shared" si="21"/>
        <v>6565.9308</v>
      </c>
      <c r="AU14" s="5">
        <f t="shared" si="22"/>
        <v>6565.9308</v>
      </c>
      <c r="AV14" s="35">
        <f t="shared" si="23"/>
        <v>4240.8894704</v>
      </c>
      <c r="AW14" s="35">
        <f t="shared" si="24"/>
        <v>44.064961600000004</v>
      </c>
      <c r="AY14" s="35"/>
      <c r="AZ14" s="35">
        <f t="shared" si="25"/>
        <v>1751.5407</v>
      </c>
      <c r="BA14" s="5">
        <f t="shared" si="26"/>
        <v>1751.5407</v>
      </c>
      <c r="BB14" s="35">
        <f t="shared" si="27"/>
        <v>1131.3080716</v>
      </c>
      <c r="BC14" s="35">
        <f t="shared" si="28"/>
        <v>11.7548564</v>
      </c>
      <c r="BE14" s="35"/>
      <c r="BF14" s="35">
        <f t="shared" si="29"/>
        <v>19804.9371</v>
      </c>
      <c r="BG14" s="5">
        <f t="shared" si="30"/>
        <v>19804.9371</v>
      </c>
      <c r="BH14" s="35">
        <f t="shared" si="31"/>
        <v>12791.8724348</v>
      </c>
      <c r="BI14" s="35">
        <f t="shared" si="32"/>
        <v>132.9139492</v>
      </c>
      <c r="BJ14" s="5"/>
      <c r="BK14" s="35"/>
      <c r="BL14" s="35">
        <f t="shared" si="33"/>
        <v>348.220275</v>
      </c>
      <c r="BM14" s="5">
        <f t="shared" si="34"/>
        <v>348.220275</v>
      </c>
      <c r="BN14" s="35">
        <f t="shared" si="35"/>
        <v>224.9130767</v>
      </c>
      <c r="BO14" s="35">
        <f t="shared" si="36"/>
        <v>2.3369593</v>
      </c>
      <c r="BP14" s="5"/>
      <c r="BQ14" s="35"/>
      <c r="BR14" s="35">
        <f t="shared" si="37"/>
        <v>74.370075</v>
      </c>
      <c r="BS14" s="5">
        <f t="shared" si="38"/>
        <v>74.370075</v>
      </c>
      <c r="BT14" s="35">
        <f t="shared" si="39"/>
        <v>48.035119099999996</v>
      </c>
      <c r="BU14" s="35"/>
      <c r="BV14" s="5"/>
      <c r="BW14" s="35"/>
      <c r="BX14" s="35">
        <f t="shared" si="40"/>
        <v>71128.2195</v>
      </c>
      <c r="BY14" s="5">
        <f t="shared" si="41"/>
        <v>71128.2195</v>
      </c>
      <c r="BZ14" s="35">
        <f t="shared" si="42"/>
        <v>45941.226966</v>
      </c>
      <c r="CA14" s="35">
        <f t="shared" si="43"/>
        <v>477.352314</v>
      </c>
      <c r="CB14" s="5"/>
      <c r="CC14" s="35"/>
      <c r="CD14" s="35">
        <f t="shared" si="44"/>
        <v>137.167875</v>
      </c>
      <c r="CE14" s="5">
        <f t="shared" si="45"/>
        <v>137.167875</v>
      </c>
      <c r="CF14" s="35">
        <f t="shared" si="46"/>
        <v>88.5957855</v>
      </c>
      <c r="CG14" s="35">
        <f t="shared" si="47"/>
        <v>0.9205545</v>
      </c>
      <c r="CH14" s="5"/>
      <c r="CI14" s="35"/>
      <c r="CJ14" s="35">
        <f t="shared" si="48"/>
        <v>81.491475</v>
      </c>
      <c r="CK14" s="5">
        <f t="shared" si="49"/>
        <v>81.491475</v>
      </c>
      <c r="CL14" s="35">
        <f t="shared" si="50"/>
        <v>52.6347823</v>
      </c>
      <c r="CM14" s="35">
        <f t="shared" si="51"/>
        <v>0.5469016999999999</v>
      </c>
      <c r="CN14" s="5"/>
      <c r="CO14" s="35"/>
      <c r="CP14" s="35">
        <f t="shared" si="52"/>
        <v>5084.6796</v>
      </c>
      <c r="CQ14" s="5">
        <f t="shared" si="53"/>
        <v>5084.6796</v>
      </c>
      <c r="CR14" s="35">
        <f t="shared" si="54"/>
        <v>3284.1595248</v>
      </c>
      <c r="CS14" s="35">
        <f t="shared" si="55"/>
        <v>34.1240592</v>
      </c>
      <c r="CT14" s="5"/>
      <c r="CU14" s="35"/>
      <c r="CV14" s="35">
        <f t="shared" si="56"/>
        <v>537.099225</v>
      </c>
      <c r="CW14" s="5">
        <f t="shared" si="57"/>
        <v>537.099225</v>
      </c>
      <c r="CX14" s="35">
        <f t="shared" si="58"/>
        <v>346.9086893</v>
      </c>
      <c r="CY14" s="35">
        <f t="shared" si="59"/>
        <v>3.6045547</v>
      </c>
      <c r="CZ14" s="5"/>
      <c r="DA14" s="35"/>
      <c r="DB14" s="35">
        <f t="shared" si="60"/>
        <v>1467.251175</v>
      </c>
      <c r="DC14" s="5">
        <f t="shared" si="61"/>
        <v>1467.251175</v>
      </c>
      <c r="DD14" s="35">
        <f t="shared" si="62"/>
        <v>947.6874259</v>
      </c>
      <c r="DE14" s="35">
        <f t="shared" si="63"/>
        <v>9.8469461</v>
      </c>
      <c r="DF14" s="5"/>
      <c r="DG14" s="35"/>
      <c r="DH14" s="35">
        <f t="shared" si="64"/>
        <v>14352.129675</v>
      </c>
      <c r="DI14" s="35">
        <f t="shared" si="65"/>
        <v>14352.129675</v>
      </c>
      <c r="DJ14" s="35">
        <f t="shared" si="66"/>
        <v>9269.9416839</v>
      </c>
      <c r="DK14" s="35">
        <f t="shared" si="67"/>
        <v>96.3193281</v>
      </c>
      <c r="DL14" s="5"/>
      <c r="DM14" s="35"/>
      <c r="DN14" s="35">
        <f t="shared" si="68"/>
        <v>1982.0150999999998</v>
      </c>
      <c r="DO14" s="35">
        <f t="shared" si="69"/>
        <v>1982.0150999999998</v>
      </c>
      <c r="DP14" s="35">
        <f t="shared" si="70"/>
        <v>1280.1698988</v>
      </c>
      <c r="DQ14" s="35">
        <f t="shared" si="71"/>
        <v>13.3016052</v>
      </c>
      <c r="DR14" s="5"/>
      <c r="DS14" s="35"/>
      <c r="DT14" s="35">
        <f t="shared" si="72"/>
        <v>7917.701999999999</v>
      </c>
      <c r="DU14" s="5">
        <f t="shared" si="73"/>
        <v>7917.701999999999</v>
      </c>
      <c r="DV14" s="35">
        <f t="shared" si="74"/>
        <v>5113.989176</v>
      </c>
      <c r="DW14" s="35">
        <f t="shared" si="75"/>
        <v>53.136903999999994</v>
      </c>
      <c r="DX14" s="5"/>
      <c r="DY14" s="35"/>
      <c r="DZ14" s="35">
        <f t="shared" si="76"/>
        <v>63667.743749999994</v>
      </c>
      <c r="EA14" s="35">
        <f t="shared" si="77"/>
        <v>63667.743749999994</v>
      </c>
      <c r="EB14" s="35">
        <f t="shared" si="78"/>
        <v>41122.557075</v>
      </c>
      <c r="EC14" s="35">
        <f t="shared" si="79"/>
        <v>427.28392499999995</v>
      </c>
      <c r="ED14" s="5"/>
      <c r="EE14" s="35"/>
      <c r="EF14" s="35">
        <f t="shared" si="80"/>
        <v>95113.984875</v>
      </c>
      <c r="EG14" s="5">
        <f t="shared" si="81"/>
        <v>95113.984875</v>
      </c>
      <c r="EH14" s="35">
        <f t="shared" si="82"/>
        <v>61433.4675815</v>
      </c>
      <c r="EI14" s="35">
        <f t="shared" si="83"/>
        <v>638.3244385</v>
      </c>
      <c r="EJ14" s="5"/>
      <c r="EK14" s="35"/>
      <c r="EL14" s="35">
        <f t="shared" si="84"/>
        <v>792.7412999999999</v>
      </c>
      <c r="EM14" s="5">
        <f t="shared" si="85"/>
        <v>792.7412999999999</v>
      </c>
      <c r="EN14" s="35">
        <f t="shared" si="86"/>
        <v>512.0261444</v>
      </c>
      <c r="EO14" s="35">
        <f t="shared" si="87"/>
        <v>5.3202076</v>
      </c>
      <c r="EP14" s="5"/>
      <c r="EQ14" s="35"/>
      <c r="ER14" s="35">
        <f t="shared" si="88"/>
        <v>30397.291275</v>
      </c>
      <c r="ES14" s="5">
        <f t="shared" si="89"/>
        <v>30397.291275</v>
      </c>
      <c r="ET14" s="35">
        <f t="shared" si="90"/>
        <v>19633.4010247</v>
      </c>
      <c r="EU14" s="35">
        <f t="shared" si="91"/>
        <v>204.0008513</v>
      </c>
      <c r="EV14" s="5"/>
      <c r="EW14" s="35"/>
      <c r="EX14" s="35">
        <f t="shared" si="92"/>
        <v>50717.396924999994</v>
      </c>
      <c r="EY14" s="5">
        <f t="shared" si="93"/>
        <v>50717.396924999994</v>
      </c>
      <c r="EZ14" s="35">
        <f t="shared" si="94"/>
        <v>32758.0172769</v>
      </c>
      <c r="FA14" s="35">
        <f t="shared" si="95"/>
        <v>340.3721751</v>
      </c>
      <c r="FB14" s="5"/>
      <c r="FC14" s="35"/>
      <c r="FD14" s="35">
        <f t="shared" si="96"/>
        <v>43421.198925</v>
      </c>
      <c r="FE14" s="5">
        <f t="shared" si="97"/>
        <v>43421.198925</v>
      </c>
      <c r="FF14" s="35">
        <f t="shared" si="98"/>
        <v>28045.4532529</v>
      </c>
      <c r="FG14" s="35">
        <f t="shared" si="99"/>
        <v>291.4062791</v>
      </c>
      <c r="FH14" s="5"/>
      <c r="FI14" s="35"/>
      <c r="FJ14" s="35">
        <f t="shared" si="100"/>
        <v>43056.065324999996</v>
      </c>
      <c r="FK14" s="5">
        <f t="shared" si="101"/>
        <v>43056.065324999996</v>
      </c>
      <c r="FL14" s="35">
        <f t="shared" si="102"/>
        <v>27809.615976099998</v>
      </c>
      <c r="FM14" s="35">
        <f t="shared" si="103"/>
        <v>288.9558119</v>
      </c>
      <c r="FN14" s="5"/>
      <c r="FO14" s="35"/>
      <c r="FP14" s="35">
        <f t="shared" si="104"/>
        <v>62429.26755</v>
      </c>
      <c r="FQ14" s="35">
        <f t="shared" si="105"/>
        <v>62429.26755</v>
      </c>
      <c r="FR14" s="35">
        <f t="shared" si="106"/>
        <v>40322.633829399994</v>
      </c>
      <c r="FS14" s="35">
        <f t="shared" si="107"/>
        <v>418.9723226</v>
      </c>
      <c r="FT14" s="5"/>
      <c r="FU14" s="35"/>
      <c r="FV14" s="35">
        <f t="shared" si="108"/>
        <v>79076.83485</v>
      </c>
      <c r="FW14" s="35">
        <f t="shared" si="109"/>
        <v>79076.83485</v>
      </c>
      <c r="FX14" s="35">
        <f t="shared" si="110"/>
        <v>51075.1828618</v>
      </c>
      <c r="FY14" s="35">
        <f t="shared" si="111"/>
        <v>530.6966822</v>
      </c>
      <c r="FZ14" s="5"/>
      <c r="GA14" s="35"/>
      <c r="GB14" s="35">
        <f t="shared" si="112"/>
        <v>364.890825</v>
      </c>
      <c r="GC14" s="5">
        <f t="shared" si="113"/>
        <v>364.890825</v>
      </c>
      <c r="GD14" s="35">
        <f t="shared" si="114"/>
        <v>235.6804701</v>
      </c>
      <c r="GE14" s="35">
        <f t="shared" si="115"/>
        <v>2.4488379</v>
      </c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</row>
    <row r="15" spans="1:230" ht="12.75">
      <c r="A15" s="36">
        <v>46113</v>
      </c>
      <c r="C15" s="3">
        <v>5875000</v>
      </c>
      <c r="D15" s="3">
        <v>809250</v>
      </c>
      <c r="E15" s="34">
        <f t="shared" si="0"/>
        <v>6684250</v>
      </c>
      <c r="F15" s="34">
        <v>522689</v>
      </c>
      <c r="G15" s="34">
        <v>5431</v>
      </c>
      <c r="I15" s="35">
        <f>'2019C Academic'!I15</f>
        <v>1311482.1249999998</v>
      </c>
      <c r="J15" s="35">
        <f>'2019C Academic'!J15</f>
        <v>180649.68675</v>
      </c>
      <c r="K15" s="35">
        <f t="shared" si="1"/>
        <v>1492131.8117499999</v>
      </c>
      <c r="L15" s="35">
        <f>'2019C Academic'!L15</f>
        <v>116680.38815900001</v>
      </c>
      <c r="M15" s="35">
        <f>'2019C Academic'!M15</f>
        <v>1212.3675610000003</v>
      </c>
      <c r="O15" s="35">
        <f>U15+AA15+AG15+AM15+AS15+AY15+BE15+BK15+BQ15+BW15+CC15+CI15+CO15+CU15+DG15+DM15+DS15+DY15+EE15+EK15+EQ15+EW15+FC15+FI15+DA15+FO15+FU15+GA15+GG15</f>
        <v>4563517.874999999</v>
      </c>
      <c r="P15" s="34">
        <f t="shared" si="2"/>
        <v>628600.3132499999</v>
      </c>
      <c r="Q15" s="5">
        <f t="shared" si="3"/>
        <v>5192118.188249999</v>
      </c>
      <c r="R15" s="34">
        <f t="shared" si="4"/>
        <v>406008.61184100003</v>
      </c>
      <c r="S15" s="34">
        <f t="shared" si="4"/>
        <v>4218.1333301</v>
      </c>
      <c r="U15" s="35">
        <f t="shared" si="116"/>
        <v>1276.05</v>
      </c>
      <c r="V15" s="35">
        <f t="shared" si="5"/>
        <v>175.7691</v>
      </c>
      <c r="W15" s="5">
        <f t="shared" si="6"/>
        <v>1451.8191</v>
      </c>
      <c r="X15" s="35">
        <f t="shared" si="7"/>
        <v>113.5280508</v>
      </c>
      <c r="Y15" s="35">
        <f t="shared" si="8"/>
        <v>1.1796132</v>
      </c>
      <c r="AA15" s="35">
        <f t="shared" si="117"/>
        <v>135797.6875</v>
      </c>
      <c r="AB15" s="35">
        <f t="shared" si="9"/>
        <v>18705.409125</v>
      </c>
      <c r="AC15" s="5">
        <f t="shared" si="10"/>
        <v>154503.096625</v>
      </c>
      <c r="AD15" s="35">
        <f t="shared" si="11"/>
        <v>12081.694890499999</v>
      </c>
      <c r="AE15" s="35">
        <f t="shared" si="12"/>
        <v>125.53484949999999</v>
      </c>
      <c r="AG15" s="35">
        <f t="shared" si="118"/>
        <v>8332.512499999999</v>
      </c>
      <c r="AH15" s="35">
        <f t="shared" si="13"/>
        <v>1147.759275</v>
      </c>
      <c r="AI15" s="35">
        <f t="shared" si="14"/>
        <v>9480.271775</v>
      </c>
      <c r="AJ15" s="35">
        <f t="shared" si="15"/>
        <v>741.3298087</v>
      </c>
      <c r="AK15" s="35">
        <f t="shared" si="16"/>
        <v>7.7027873</v>
      </c>
      <c r="AM15" s="35">
        <f t="shared" si="119"/>
        <v>60265.1625</v>
      </c>
      <c r="AN15" s="35">
        <f t="shared" si="17"/>
        <v>8301.205575</v>
      </c>
      <c r="AO15" s="5">
        <f t="shared" si="18"/>
        <v>68566.368075</v>
      </c>
      <c r="AP15" s="35">
        <f t="shared" si="19"/>
        <v>5361.6914931</v>
      </c>
      <c r="AQ15" s="35">
        <f t="shared" si="20"/>
        <v>55.7106549</v>
      </c>
      <c r="AS15" s="35">
        <f t="shared" si="120"/>
        <v>47667.4</v>
      </c>
      <c r="AT15" s="35">
        <f t="shared" si="21"/>
        <v>6565.9308</v>
      </c>
      <c r="AU15" s="5">
        <f t="shared" si="22"/>
        <v>54233.3308</v>
      </c>
      <c r="AV15" s="35">
        <f t="shared" si="23"/>
        <v>4240.8894704</v>
      </c>
      <c r="AW15" s="35">
        <f t="shared" si="24"/>
        <v>44.064961600000004</v>
      </c>
      <c r="AY15" s="35">
        <f t="shared" si="121"/>
        <v>12715.85</v>
      </c>
      <c r="AZ15" s="35">
        <f t="shared" si="25"/>
        <v>1751.5407</v>
      </c>
      <c r="BA15" s="5">
        <f t="shared" si="26"/>
        <v>14467.3907</v>
      </c>
      <c r="BB15" s="35">
        <f t="shared" si="27"/>
        <v>1131.3080716</v>
      </c>
      <c r="BC15" s="35">
        <f t="shared" si="28"/>
        <v>11.7548564</v>
      </c>
      <c r="BE15" s="35">
        <f t="shared" si="122"/>
        <v>143780.05000000002</v>
      </c>
      <c r="BF15" s="35">
        <f t="shared" si="29"/>
        <v>19804.9371</v>
      </c>
      <c r="BG15" s="5">
        <f t="shared" si="30"/>
        <v>163584.98710000003</v>
      </c>
      <c r="BH15" s="35">
        <f t="shared" si="31"/>
        <v>12791.8724348</v>
      </c>
      <c r="BI15" s="35">
        <f t="shared" si="32"/>
        <v>132.9139492</v>
      </c>
      <c r="BJ15" s="5"/>
      <c r="BK15" s="35">
        <f t="shared" si="123"/>
        <v>2528.0125</v>
      </c>
      <c r="BL15" s="35">
        <f t="shared" si="33"/>
        <v>348.220275</v>
      </c>
      <c r="BM15" s="5">
        <f t="shared" si="34"/>
        <v>2876.232775</v>
      </c>
      <c r="BN15" s="35">
        <f t="shared" si="35"/>
        <v>224.9130767</v>
      </c>
      <c r="BO15" s="35">
        <f t="shared" si="36"/>
        <v>2.3369593</v>
      </c>
      <c r="BP15" s="5"/>
      <c r="BQ15" s="35">
        <f t="shared" si="124"/>
        <v>539.9125</v>
      </c>
      <c r="BR15" s="35">
        <f t="shared" si="37"/>
        <v>74.370075</v>
      </c>
      <c r="BS15" s="5">
        <f t="shared" si="38"/>
        <v>614.2825750000001</v>
      </c>
      <c r="BT15" s="35">
        <f t="shared" si="39"/>
        <v>48.035119099999996</v>
      </c>
      <c r="BU15" s="35"/>
      <c r="BV15" s="5"/>
      <c r="BW15" s="35">
        <f t="shared" si="125"/>
        <v>516377.25</v>
      </c>
      <c r="BX15" s="35">
        <f t="shared" si="40"/>
        <v>71128.2195</v>
      </c>
      <c r="BY15" s="5">
        <f t="shared" si="41"/>
        <v>587505.4695</v>
      </c>
      <c r="BZ15" s="35">
        <f t="shared" si="42"/>
        <v>45941.226966</v>
      </c>
      <c r="CA15" s="35">
        <f t="shared" si="43"/>
        <v>477.352314</v>
      </c>
      <c r="CB15" s="5"/>
      <c r="CC15" s="35">
        <f t="shared" si="126"/>
        <v>995.8125</v>
      </c>
      <c r="CD15" s="35">
        <f t="shared" si="44"/>
        <v>137.167875</v>
      </c>
      <c r="CE15" s="5">
        <f t="shared" si="45"/>
        <v>1132.980375</v>
      </c>
      <c r="CF15" s="35">
        <f t="shared" si="46"/>
        <v>88.5957855</v>
      </c>
      <c r="CG15" s="35">
        <f t="shared" si="47"/>
        <v>0.9205545</v>
      </c>
      <c r="CH15" s="5"/>
      <c r="CI15" s="35">
        <f t="shared" si="127"/>
        <v>591.6125</v>
      </c>
      <c r="CJ15" s="35">
        <f t="shared" si="48"/>
        <v>81.491475</v>
      </c>
      <c r="CK15" s="5">
        <f t="shared" si="49"/>
        <v>673.103975</v>
      </c>
      <c r="CL15" s="35">
        <f t="shared" si="50"/>
        <v>52.6347823</v>
      </c>
      <c r="CM15" s="35">
        <f t="shared" si="51"/>
        <v>0.5469016999999999</v>
      </c>
      <c r="CN15" s="5"/>
      <c r="CO15" s="35">
        <f t="shared" si="128"/>
        <v>36913.8</v>
      </c>
      <c r="CP15" s="35">
        <f t="shared" si="52"/>
        <v>5084.6796</v>
      </c>
      <c r="CQ15" s="5">
        <f t="shared" si="53"/>
        <v>41998.479600000006</v>
      </c>
      <c r="CR15" s="35">
        <f t="shared" si="54"/>
        <v>3284.1595248</v>
      </c>
      <c r="CS15" s="35">
        <f t="shared" si="55"/>
        <v>34.1240592</v>
      </c>
      <c r="CT15" s="5"/>
      <c r="CU15" s="35">
        <f t="shared" si="129"/>
        <v>3899.2375</v>
      </c>
      <c r="CV15" s="35">
        <f t="shared" si="56"/>
        <v>537.099225</v>
      </c>
      <c r="CW15" s="5">
        <f t="shared" si="57"/>
        <v>4436.336725</v>
      </c>
      <c r="CX15" s="35">
        <f t="shared" si="58"/>
        <v>346.9086893</v>
      </c>
      <c r="CY15" s="35">
        <f t="shared" si="59"/>
        <v>3.6045547</v>
      </c>
      <c r="CZ15" s="5"/>
      <c r="DA15" s="35">
        <f>$C15*DB$6</f>
        <v>10651.9625</v>
      </c>
      <c r="DB15" s="35">
        <f t="shared" si="60"/>
        <v>1467.251175</v>
      </c>
      <c r="DC15" s="5">
        <f t="shared" si="61"/>
        <v>12119.213674999999</v>
      </c>
      <c r="DD15" s="35">
        <f t="shared" si="62"/>
        <v>947.6874259</v>
      </c>
      <c r="DE15" s="35">
        <f t="shared" si="63"/>
        <v>9.8469461</v>
      </c>
      <c r="DF15" s="5"/>
      <c r="DG15" s="35">
        <f t="shared" si="130"/>
        <v>104193.7125</v>
      </c>
      <c r="DH15" s="35">
        <f t="shared" si="64"/>
        <v>14352.129675</v>
      </c>
      <c r="DI15" s="35">
        <f t="shared" si="65"/>
        <v>118545.842175</v>
      </c>
      <c r="DJ15" s="35">
        <f t="shared" si="66"/>
        <v>9269.9416839</v>
      </c>
      <c r="DK15" s="35">
        <f t="shared" si="67"/>
        <v>96.3193281</v>
      </c>
      <c r="DL15" s="5"/>
      <c r="DM15" s="35">
        <f t="shared" si="131"/>
        <v>14389.05</v>
      </c>
      <c r="DN15" s="35">
        <f t="shared" si="68"/>
        <v>1982.0150999999998</v>
      </c>
      <c r="DO15" s="35">
        <f t="shared" si="69"/>
        <v>16371.0651</v>
      </c>
      <c r="DP15" s="35">
        <f t="shared" si="70"/>
        <v>1280.1698988</v>
      </c>
      <c r="DQ15" s="35">
        <f t="shared" si="71"/>
        <v>13.3016052</v>
      </c>
      <c r="DR15" s="5"/>
      <c r="DS15" s="35">
        <f t="shared" si="132"/>
        <v>57480.99999999999</v>
      </c>
      <c r="DT15" s="35">
        <f t="shared" si="72"/>
        <v>7917.701999999999</v>
      </c>
      <c r="DU15" s="5">
        <f t="shared" si="73"/>
        <v>65398.70199999999</v>
      </c>
      <c r="DV15" s="35">
        <f t="shared" si="74"/>
        <v>5113.989176</v>
      </c>
      <c r="DW15" s="35">
        <f t="shared" si="75"/>
        <v>53.136903999999994</v>
      </c>
      <c r="DX15" s="5"/>
      <c r="DY15" s="35">
        <f t="shared" si="133"/>
        <v>462215.62499999994</v>
      </c>
      <c r="DZ15" s="35">
        <f t="shared" si="76"/>
        <v>63667.743749999994</v>
      </c>
      <c r="EA15" s="35">
        <f t="shared" si="77"/>
        <v>525883.3687499999</v>
      </c>
      <c r="EB15" s="35">
        <f t="shared" si="78"/>
        <v>41122.557075</v>
      </c>
      <c r="EC15" s="35">
        <f t="shared" si="79"/>
        <v>427.28392499999995</v>
      </c>
      <c r="ED15" s="5"/>
      <c r="EE15" s="35">
        <f t="shared" si="134"/>
        <v>690509.3125</v>
      </c>
      <c r="EF15" s="35">
        <f t="shared" si="80"/>
        <v>95113.984875</v>
      </c>
      <c r="EG15" s="5">
        <f t="shared" si="81"/>
        <v>785623.297375</v>
      </c>
      <c r="EH15" s="35">
        <f t="shared" si="82"/>
        <v>61433.4675815</v>
      </c>
      <c r="EI15" s="35">
        <f t="shared" si="83"/>
        <v>638.3244385</v>
      </c>
      <c r="EJ15" s="5"/>
      <c r="EK15" s="35">
        <f t="shared" si="135"/>
        <v>5755.15</v>
      </c>
      <c r="EL15" s="35">
        <f t="shared" si="84"/>
        <v>792.7412999999999</v>
      </c>
      <c r="EM15" s="5">
        <f t="shared" si="85"/>
        <v>6547.891299999999</v>
      </c>
      <c r="EN15" s="35">
        <f t="shared" si="86"/>
        <v>512.0261444</v>
      </c>
      <c r="EO15" s="35">
        <f t="shared" si="87"/>
        <v>5.3202076</v>
      </c>
      <c r="EP15" s="5"/>
      <c r="EQ15" s="35">
        <f t="shared" si="136"/>
        <v>220678.5125</v>
      </c>
      <c r="ER15" s="35">
        <f t="shared" si="88"/>
        <v>30397.291275</v>
      </c>
      <c r="ES15" s="5">
        <f t="shared" si="89"/>
        <v>251075.803775</v>
      </c>
      <c r="ET15" s="35">
        <f t="shared" si="90"/>
        <v>19633.4010247</v>
      </c>
      <c r="EU15" s="35">
        <f t="shared" si="91"/>
        <v>204.0008513</v>
      </c>
      <c r="EV15" s="5"/>
      <c r="EW15" s="35">
        <f t="shared" si="137"/>
        <v>368198.58749999997</v>
      </c>
      <c r="EX15" s="35">
        <f t="shared" si="92"/>
        <v>50717.396924999994</v>
      </c>
      <c r="EY15" s="5">
        <f t="shared" si="93"/>
        <v>418915.984425</v>
      </c>
      <c r="EZ15" s="35">
        <f t="shared" si="94"/>
        <v>32758.0172769</v>
      </c>
      <c r="FA15" s="35">
        <f t="shared" si="95"/>
        <v>340.3721751</v>
      </c>
      <c r="FB15" s="5"/>
      <c r="FC15" s="35">
        <f t="shared" si="138"/>
        <v>315229.58749999997</v>
      </c>
      <c r="FD15" s="35">
        <f t="shared" si="96"/>
        <v>43421.198925</v>
      </c>
      <c r="FE15" s="5">
        <f t="shared" si="97"/>
        <v>358650.78642499994</v>
      </c>
      <c r="FF15" s="35">
        <f t="shared" si="98"/>
        <v>28045.4532529</v>
      </c>
      <c r="FG15" s="35">
        <f t="shared" si="99"/>
        <v>291.4062791</v>
      </c>
      <c r="FH15" s="5"/>
      <c r="FI15" s="35">
        <f t="shared" si="139"/>
        <v>312578.7875</v>
      </c>
      <c r="FJ15" s="35">
        <f t="shared" si="100"/>
        <v>43056.065324999996</v>
      </c>
      <c r="FK15" s="5">
        <f t="shared" si="101"/>
        <v>355634.85282499995</v>
      </c>
      <c r="FL15" s="35">
        <f t="shared" si="102"/>
        <v>27809.615976099998</v>
      </c>
      <c r="FM15" s="35">
        <f t="shared" si="103"/>
        <v>288.9558119</v>
      </c>
      <c r="FN15" s="5"/>
      <c r="FO15" s="35">
        <f t="shared" si="140"/>
        <v>453224.52499999997</v>
      </c>
      <c r="FP15" s="35">
        <f t="shared" si="104"/>
        <v>62429.26755</v>
      </c>
      <c r="FQ15" s="35">
        <f t="shared" si="105"/>
        <v>515653.79254999995</v>
      </c>
      <c r="FR15" s="35">
        <f t="shared" si="106"/>
        <v>40322.633829399994</v>
      </c>
      <c r="FS15" s="35">
        <f t="shared" si="107"/>
        <v>418.9723226</v>
      </c>
      <c r="FT15" s="5"/>
      <c r="FU15" s="35">
        <f t="shared" si="141"/>
        <v>574082.675</v>
      </c>
      <c r="FV15" s="35">
        <f t="shared" si="108"/>
        <v>79076.83485</v>
      </c>
      <c r="FW15" s="35">
        <f t="shared" si="109"/>
        <v>653159.50985</v>
      </c>
      <c r="FX15" s="35">
        <f t="shared" si="110"/>
        <v>51075.1828618</v>
      </c>
      <c r="FY15" s="35">
        <f t="shared" si="111"/>
        <v>530.6966822</v>
      </c>
      <c r="FZ15" s="5"/>
      <c r="GA15" s="35">
        <f t="shared" si="142"/>
        <v>2649.0375</v>
      </c>
      <c r="GB15" s="35">
        <f t="shared" si="112"/>
        <v>364.890825</v>
      </c>
      <c r="GC15" s="5">
        <f t="shared" si="113"/>
        <v>3013.928325</v>
      </c>
      <c r="GD15" s="35">
        <f t="shared" si="114"/>
        <v>235.6804701</v>
      </c>
      <c r="GE15" s="35">
        <f t="shared" si="115"/>
        <v>2.4488379</v>
      </c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</row>
    <row r="16" spans="1:230" ht="12.75">
      <c r="A16" s="36">
        <v>46296</v>
      </c>
      <c r="D16" s="3">
        <v>662375</v>
      </c>
      <c r="E16" s="34">
        <f t="shared" si="0"/>
        <v>662375</v>
      </c>
      <c r="F16" s="34">
        <v>522689</v>
      </c>
      <c r="G16" s="34">
        <v>5431</v>
      </c>
      <c r="I16" s="35">
        <f>'2019C Academic'!I16</f>
        <v>0</v>
      </c>
      <c r="J16" s="35">
        <f>'2019C Academic'!J16</f>
        <v>147862.633625</v>
      </c>
      <c r="K16" s="35">
        <f t="shared" si="1"/>
        <v>147862.633625</v>
      </c>
      <c r="L16" s="35">
        <f>'2019C Academic'!L16</f>
        <v>116680.38815900001</v>
      </c>
      <c r="M16" s="35">
        <f>'2019C Academic'!M16</f>
        <v>1212.3675610000003</v>
      </c>
      <c r="O16" s="35"/>
      <c r="P16" s="34">
        <f t="shared" si="2"/>
        <v>514512.3663749999</v>
      </c>
      <c r="Q16" s="5">
        <f t="shared" si="3"/>
        <v>514512.3663749999</v>
      </c>
      <c r="R16" s="34">
        <f t="shared" si="4"/>
        <v>406008.61184100003</v>
      </c>
      <c r="S16" s="34">
        <f t="shared" si="4"/>
        <v>4218.1333301</v>
      </c>
      <c r="U16" s="35"/>
      <c r="V16" s="35">
        <f t="shared" si="5"/>
        <v>143.86785</v>
      </c>
      <c r="W16" s="5">
        <f t="shared" si="6"/>
        <v>143.86785</v>
      </c>
      <c r="X16" s="35">
        <f t="shared" si="7"/>
        <v>113.5280508</v>
      </c>
      <c r="Y16" s="35">
        <f t="shared" si="8"/>
        <v>1.1796132</v>
      </c>
      <c r="AA16" s="35"/>
      <c r="AB16" s="35">
        <f t="shared" si="9"/>
        <v>15310.4669375</v>
      </c>
      <c r="AC16" s="5">
        <f t="shared" si="10"/>
        <v>15310.4669375</v>
      </c>
      <c r="AD16" s="35">
        <f t="shared" si="11"/>
        <v>12081.694890499999</v>
      </c>
      <c r="AE16" s="35">
        <f t="shared" si="12"/>
        <v>125.53484949999999</v>
      </c>
      <c r="AG16" s="35"/>
      <c r="AH16" s="35">
        <f t="shared" si="13"/>
        <v>939.4464624999999</v>
      </c>
      <c r="AI16" s="35">
        <f t="shared" si="14"/>
        <v>939.4464624999999</v>
      </c>
      <c r="AJ16" s="35">
        <f t="shared" si="15"/>
        <v>741.3298087</v>
      </c>
      <c r="AK16" s="35">
        <f t="shared" si="16"/>
        <v>7.7027873</v>
      </c>
      <c r="AM16" s="35"/>
      <c r="AN16" s="35">
        <f t="shared" si="17"/>
        <v>6794.5765125</v>
      </c>
      <c r="AO16" s="5">
        <f t="shared" si="18"/>
        <v>6794.5765125</v>
      </c>
      <c r="AP16" s="35">
        <f t="shared" si="19"/>
        <v>5361.6914931</v>
      </c>
      <c r="AQ16" s="35">
        <f t="shared" si="20"/>
        <v>55.7106549</v>
      </c>
      <c r="AS16" s="35"/>
      <c r="AT16" s="35">
        <f t="shared" si="21"/>
        <v>5374.245800000001</v>
      </c>
      <c r="AU16" s="5">
        <f t="shared" si="22"/>
        <v>5374.245800000001</v>
      </c>
      <c r="AV16" s="35">
        <f t="shared" si="23"/>
        <v>4240.8894704</v>
      </c>
      <c r="AW16" s="35">
        <f t="shared" si="24"/>
        <v>44.064961600000004</v>
      </c>
      <c r="AY16" s="35"/>
      <c r="AZ16" s="35">
        <f t="shared" si="25"/>
        <v>1433.64445</v>
      </c>
      <c r="BA16" s="5">
        <f t="shared" si="26"/>
        <v>1433.64445</v>
      </c>
      <c r="BB16" s="35">
        <f t="shared" si="27"/>
        <v>1131.3080716</v>
      </c>
      <c r="BC16" s="35">
        <f t="shared" si="28"/>
        <v>11.7548564</v>
      </c>
      <c r="BE16" s="35"/>
      <c r="BF16" s="35">
        <f t="shared" si="29"/>
        <v>16210.43585</v>
      </c>
      <c r="BG16" s="5">
        <f t="shared" si="30"/>
        <v>16210.43585</v>
      </c>
      <c r="BH16" s="35">
        <f t="shared" si="31"/>
        <v>12791.8724348</v>
      </c>
      <c r="BI16" s="35">
        <f t="shared" si="32"/>
        <v>132.9139492</v>
      </c>
      <c r="BJ16" s="5"/>
      <c r="BK16" s="35"/>
      <c r="BL16" s="35">
        <f t="shared" si="33"/>
        <v>285.0199625</v>
      </c>
      <c r="BM16" s="5">
        <f t="shared" si="34"/>
        <v>285.0199625</v>
      </c>
      <c r="BN16" s="35">
        <f t="shared" si="35"/>
        <v>224.9130767</v>
      </c>
      <c r="BO16" s="35">
        <f t="shared" si="36"/>
        <v>2.3369593</v>
      </c>
      <c r="BP16" s="5"/>
      <c r="BQ16" s="35"/>
      <c r="BR16" s="35">
        <f t="shared" si="37"/>
        <v>60.8722625</v>
      </c>
      <c r="BS16" s="5">
        <f t="shared" si="38"/>
        <v>60.8722625</v>
      </c>
      <c r="BT16" s="35">
        <f t="shared" si="39"/>
        <v>48.035119099999996</v>
      </c>
      <c r="BU16" s="35"/>
      <c r="BV16" s="5"/>
      <c r="BW16" s="35"/>
      <c r="BX16" s="35">
        <f t="shared" si="40"/>
        <v>58218.78825</v>
      </c>
      <c r="BY16" s="5">
        <f t="shared" si="41"/>
        <v>58218.78825</v>
      </c>
      <c r="BZ16" s="35">
        <f t="shared" si="42"/>
        <v>45941.226966</v>
      </c>
      <c r="CA16" s="35">
        <f t="shared" si="43"/>
        <v>477.352314</v>
      </c>
      <c r="CB16" s="5"/>
      <c r="CC16" s="35"/>
      <c r="CD16" s="35">
        <f t="shared" si="44"/>
        <v>112.2725625</v>
      </c>
      <c r="CE16" s="5">
        <f t="shared" si="45"/>
        <v>112.2725625</v>
      </c>
      <c r="CF16" s="35">
        <f t="shared" si="46"/>
        <v>88.5957855</v>
      </c>
      <c r="CG16" s="35">
        <f t="shared" si="47"/>
        <v>0.9205545</v>
      </c>
      <c r="CH16" s="5"/>
      <c r="CI16" s="35"/>
      <c r="CJ16" s="35">
        <f t="shared" si="48"/>
        <v>66.7011625</v>
      </c>
      <c r="CK16" s="5">
        <f t="shared" si="49"/>
        <v>66.7011625</v>
      </c>
      <c r="CL16" s="35">
        <f t="shared" si="50"/>
        <v>52.6347823</v>
      </c>
      <c r="CM16" s="35">
        <f t="shared" si="51"/>
        <v>0.5469016999999999</v>
      </c>
      <c r="CN16" s="5"/>
      <c r="CO16" s="35"/>
      <c r="CP16" s="35">
        <f t="shared" si="52"/>
        <v>4161.8346</v>
      </c>
      <c r="CQ16" s="5">
        <f t="shared" si="53"/>
        <v>4161.8346</v>
      </c>
      <c r="CR16" s="35">
        <f t="shared" si="54"/>
        <v>3284.1595248</v>
      </c>
      <c r="CS16" s="35">
        <f t="shared" si="55"/>
        <v>34.1240592</v>
      </c>
      <c r="CT16" s="5"/>
      <c r="CU16" s="35"/>
      <c r="CV16" s="35">
        <f t="shared" si="56"/>
        <v>439.6182875</v>
      </c>
      <c r="CW16" s="5">
        <f t="shared" si="57"/>
        <v>439.6182875</v>
      </c>
      <c r="CX16" s="35">
        <f t="shared" si="58"/>
        <v>346.9086893</v>
      </c>
      <c r="CY16" s="35">
        <f t="shared" si="59"/>
        <v>3.6045547</v>
      </c>
      <c r="CZ16" s="5"/>
      <c r="DA16" s="35"/>
      <c r="DB16" s="35">
        <f t="shared" si="60"/>
        <v>1200.9521125</v>
      </c>
      <c r="DC16" s="5">
        <f t="shared" si="61"/>
        <v>1200.9521125</v>
      </c>
      <c r="DD16" s="35">
        <f t="shared" si="62"/>
        <v>947.6874259</v>
      </c>
      <c r="DE16" s="35">
        <f t="shared" si="63"/>
        <v>9.8469461</v>
      </c>
      <c r="DF16" s="5"/>
      <c r="DG16" s="35"/>
      <c r="DH16" s="35">
        <f t="shared" si="64"/>
        <v>11747.286862500001</v>
      </c>
      <c r="DI16" s="35">
        <f t="shared" si="65"/>
        <v>11747.286862500001</v>
      </c>
      <c r="DJ16" s="35">
        <f t="shared" si="66"/>
        <v>9269.9416839</v>
      </c>
      <c r="DK16" s="35">
        <f t="shared" si="67"/>
        <v>96.3193281</v>
      </c>
      <c r="DL16" s="5"/>
      <c r="DM16" s="35"/>
      <c r="DN16" s="35">
        <f t="shared" si="68"/>
        <v>1622.28885</v>
      </c>
      <c r="DO16" s="35">
        <f t="shared" si="69"/>
        <v>1622.28885</v>
      </c>
      <c r="DP16" s="35">
        <f t="shared" si="70"/>
        <v>1280.1698988</v>
      </c>
      <c r="DQ16" s="35">
        <f t="shared" si="71"/>
        <v>13.3016052</v>
      </c>
      <c r="DR16" s="5"/>
      <c r="DS16" s="35"/>
      <c r="DT16" s="35">
        <f t="shared" si="72"/>
        <v>6480.677</v>
      </c>
      <c r="DU16" s="5">
        <f t="shared" si="73"/>
        <v>6480.677</v>
      </c>
      <c r="DV16" s="35">
        <f t="shared" si="74"/>
        <v>5113.989176</v>
      </c>
      <c r="DW16" s="35">
        <f t="shared" si="75"/>
        <v>53.136903999999994</v>
      </c>
      <c r="DX16" s="5"/>
      <c r="DY16" s="35"/>
      <c r="DZ16" s="35">
        <f t="shared" si="76"/>
        <v>52112.353124999994</v>
      </c>
      <c r="EA16" s="35">
        <f t="shared" si="77"/>
        <v>52112.353124999994</v>
      </c>
      <c r="EB16" s="35">
        <f t="shared" si="78"/>
        <v>41122.557075</v>
      </c>
      <c r="EC16" s="35">
        <f t="shared" si="79"/>
        <v>427.28392499999995</v>
      </c>
      <c r="ED16" s="5"/>
      <c r="EE16" s="35"/>
      <c r="EF16" s="35">
        <f t="shared" si="80"/>
        <v>77851.2520625</v>
      </c>
      <c r="EG16" s="5">
        <f t="shared" si="81"/>
        <v>77851.2520625</v>
      </c>
      <c r="EH16" s="35">
        <f t="shared" si="82"/>
        <v>61433.4675815</v>
      </c>
      <c r="EI16" s="35">
        <f t="shared" si="83"/>
        <v>638.3244385</v>
      </c>
      <c r="EJ16" s="5"/>
      <c r="EK16" s="35"/>
      <c r="EL16" s="35">
        <f t="shared" si="84"/>
        <v>648.8625499999999</v>
      </c>
      <c r="EM16" s="5">
        <f t="shared" si="85"/>
        <v>648.8625499999999</v>
      </c>
      <c r="EN16" s="35">
        <f t="shared" si="86"/>
        <v>512.0261444</v>
      </c>
      <c r="EO16" s="35">
        <f t="shared" si="87"/>
        <v>5.3202076</v>
      </c>
      <c r="EP16" s="5"/>
      <c r="EQ16" s="35"/>
      <c r="ER16" s="35">
        <f t="shared" si="88"/>
        <v>24880.3284625</v>
      </c>
      <c r="ES16" s="5">
        <f t="shared" si="89"/>
        <v>24880.3284625</v>
      </c>
      <c r="ET16" s="35">
        <f t="shared" si="90"/>
        <v>19633.4010247</v>
      </c>
      <c r="EU16" s="35">
        <f t="shared" si="91"/>
        <v>204.0008513</v>
      </c>
      <c r="EV16" s="5"/>
      <c r="EW16" s="35"/>
      <c r="EX16" s="35">
        <f t="shared" si="92"/>
        <v>41512.4322375</v>
      </c>
      <c r="EY16" s="5">
        <f t="shared" si="93"/>
        <v>41512.4322375</v>
      </c>
      <c r="EZ16" s="35">
        <f t="shared" si="94"/>
        <v>32758.0172769</v>
      </c>
      <c r="FA16" s="35">
        <f t="shared" si="95"/>
        <v>340.3721751</v>
      </c>
      <c r="FB16" s="5"/>
      <c r="FC16" s="35"/>
      <c r="FD16" s="35">
        <f t="shared" si="96"/>
        <v>35540.4592375</v>
      </c>
      <c r="FE16" s="5">
        <f t="shared" si="97"/>
        <v>35540.4592375</v>
      </c>
      <c r="FF16" s="35">
        <f t="shared" si="98"/>
        <v>28045.4532529</v>
      </c>
      <c r="FG16" s="35">
        <f t="shared" si="99"/>
        <v>291.4062791</v>
      </c>
      <c r="FH16" s="5"/>
      <c r="FI16" s="35"/>
      <c r="FJ16" s="35">
        <f t="shared" si="100"/>
        <v>35241.5956375</v>
      </c>
      <c r="FK16" s="5">
        <f t="shared" si="101"/>
        <v>35241.5956375</v>
      </c>
      <c r="FL16" s="35">
        <f t="shared" si="102"/>
        <v>27809.615976099998</v>
      </c>
      <c r="FM16" s="35">
        <f t="shared" si="103"/>
        <v>288.9558119</v>
      </c>
      <c r="FN16" s="5"/>
      <c r="FO16" s="35"/>
      <c r="FP16" s="35">
        <f t="shared" si="104"/>
        <v>51098.65442499999</v>
      </c>
      <c r="FQ16" s="35">
        <f t="shared" si="105"/>
        <v>51098.65442499999</v>
      </c>
      <c r="FR16" s="35">
        <f t="shared" si="106"/>
        <v>40322.633829399994</v>
      </c>
      <c r="FS16" s="35">
        <f t="shared" si="107"/>
        <v>418.9723226</v>
      </c>
      <c r="FT16" s="5"/>
      <c r="FU16" s="35"/>
      <c r="FV16" s="35">
        <f t="shared" si="108"/>
        <v>64724.767975</v>
      </c>
      <c r="FW16" s="35">
        <f t="shared" si="109"/>
        <v>64724.767975</v>
      </c>
      <c r="FX16" s="35">
        <f t="shared" si="110"/>
        <v>51075.1828618</v>
      </c>
      <c r="FY16" s="35">
        <f t="shared" si="111"/>
        <v>530.6966822</v>
      </c>
      <c r="FZ16" s="5"/>
      <c r="GA16" s="35"/>
      <c r="GB16" s="35">
        <f t="shared" si="112"/>
        <v>298.6648875</v>
      </c>
      <c r="GC16" s="5">
        <f t="shared" si="113"/>
        <v>298.6648875</v>
      </c>
      <c r="GD16" s="35">
        <f t="shared" si="114"/>
        <v>235.6804701</v>
      </c>
      <c r="GE16" s="35">
        <f t="shared" si="115"/>
        <v>2.4488379</v>
      </c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</row>
    <row r="17" spans="1:230" ht="12.75">
      <c r="A17" s="36">
        <v>46478</v>
      </c>
      <c r="C17" s="3">
        <v>6160000</v>
      </c>
      <c r="D17" s="3">
        <v>662375</v>
      </c>
      <c r="E17" s="34">
        <f t="shared" si="0"/>
        <v>6822375</v>
      </c>
      <c r="F17" s="34">
        <v>522689</v>
      </c>
      <c r="G17" s="34">
        <v>5431</v>
      </c>
      <c r="I17" s="35">
        <f>'2019C Academic'!I17</f>
        <v>1375102.96</v>
      </c>
      <c r="J17" s="35">
        <f>'2019C Academic'!J17</f>
        <v>147862.633625</v>
      </c>
      <c r="K17" s="35">
        <f t="shared" si="1"/>
        <v>1522965.593625</v>
      </c>
      <c r="L17" s="35">
        <f>'2019C Academic'!L17</f>
        <v>116680.38815900001</v>
      </c>
      <c r="M17" s="35">
        <f>'2019C Academic'!M17</f>
        <v>1212.3675610000003</v>
      </c>
      <c r="O17" s="35">
        <f>U17+AA17+AG17+AM17+AS17+AY17+BE17+BK17+BQ17+BW17+CC17+CI17+CO17+CU17+DG17+DM17+DS17+DY17+EE17+EK17+EQ17+EW17+FC17+FI17+DA17+FO17+FU17+GA17+GG17</f>
        <v>4784897.04</v>
      </c>
      <c r="P17" s="34">
        <f t="shared" si="2"/>
        <v>514512.3663749999</v>
      </c>
      <c r="Q17" s="5">
        <f t="shared" si="3"/>
        <v>5299409.406375</v>
      </c>
      <c r="R17" s="34">
        <f t="shared" si="4"/>
        <v>406008.61184100003</v>
      </c>
      <c r="S17" s="34">
        <f t="shared" si="4"/>
        <v>4218.1333301</v>
      </c>
      <c r="U17" s="35">
        <f t="shared" si="116"/>
        <v>1337.952</v>
      </c>
      <c r="V17" s="35">
        <f t="shared" si="5"/>
        <v>143.86785</v>
      </c>
      <c r="W17" s="5">
        <f t="shared" si="6"/>
        <v>1481.81985</v>
      </c>
      <c r="X17" s="35">
        <f t="shared" si="7"/>
        <v>113.5280508</v>
      </c>
      <c r="Y17" s="35">
        <f t="shared" si="8"/>
        <v>1.1796132</v>
      </c>
      <c r="AA17" s="35">
        <f t="shared" si="117"/>
        <v>142385.32</v>
      </c>
      <c r="AB17" s="35">
        <f t="shared" si="9"/>
        <v>15310.4669375</v>
      </c>
      <c r="AC17" s="5">
        <f t="shared" si="10"/>
        <v>157695.7869375</v>
      </c>
      <c r="AD17" s="35">
        <f t="shared" si="11"/>
        <v>12081.694890499999</v>
      </c>
      <c r="AE17" s="35">
        <f t="shared" si="12"/>
        <v>125.53484949999999</v>
      </c>
      <c r="AG17" s="35">
        <f t="shared" si="118"/>
        <v>8736.728</v>
      </c>
      <c r="AH17" s="35">
        <f t="shared" si="13"/>
        <v>939.4464624999999</v>
      </c>
      <c r="AI17" s="35">
        <f t="shared" si="14"/>
        <v>9676.1744625</v>
      </c>
      <c r="AJ17" s="35">
        <f t="shared" si="15"/>
        <v>741.3298087</v>
      </c>
      <c r="AK17" s="35">
        <f t="shared" si="16"/>
        <v>7.7027873</v>
      </c>
      <c r="AM17" s="35">
        <f t="shared" si="119"/>
        <v>63188.664000000004</v>
      </c>
      <c r="AN17" s="35">
        <f t="shared" si="17"/>
        <v>6794.5765125</v>
      </c>
      <c r="AO17" s="5">
        <f t="shared" si="18"/>
        <v>69983.24051250001</v>
      </c>
      <c r="AP17" s="35">
        <f t="shared" si="19"/>
        <v>5361.6914931</v>
      </c>
      <c r="AQ17" s="35">
        <f t="shared" si="20"/>
        <v>55.7106549</v>
      </c>
      <c r="AS17" s="35">
        <f t="shared" si="120"/>
        <v>49979.776000000005</v>
      </c>
      <c r="AT17" s="35">
        <f t="shared" si="21"/>
        <v>5374.245800000001</v>
      </c>
      <c r="AU17" s="5">
        <f t="shared" si="22"/>
        <v>55354.0218</v>
      </c>
      <c r="AV17" s="35">
        <f t="shared" si="23"/>
        <v>4240.8894704</v>
      </c>
      <c r="AW17" s="35">
        <f t="shared" si="24"/>
        <v>44.064961600000004</v>
      </c>
      <c r="AY17" s="35">
        <f t="shared" si="121"/>
        <v>13332.704</v>
      </c>
      <c r="AZ17" s="35">
        <f t="shared" si="25"/>
        <v>1433.64445</v>
      </c>
      <c r="BA17" s="5">
        <f t="shared" si="26"/>
        <v>14766.34845</v>
      </c>
      <c r="BB17" s="35">
        <f t="shared" si="27"/>
        <v>1131.3080716</v>
      </c>
      <c r="BC17" s="35">
        <f t="shared" si="28"/>
        <v>11.7548564</v>
      </c>
      <c r="BE17" s="35">
        <f t="shared" si="122"/>
        <v>150754.912</v>
      </c>
      <c r="BF17" s="35">
        <f t="shared" si="29"/>
        <v>16210.43585</v>
      </c>
      <c r="BG17" s="5">
        <f t="shared" si="30"/>
        <v>166965.34785000002</v>
      </c>
      <c r="BH17" s="35">
        <f t="shared" si="31"/>
        <v>12791.8724348</v>
      </c>
      <c r="BI17" s="35">
        <f t="shared" si="32"/>
        <v>132.9139492</v>
      </c>
      <c r="BJ17" s="5"/>
      <c r="BK17" s="35">
        <f t="shared" si="123"/>
        <v>2650.648</v>
      </c>
      <c r="BL17" s="35">
        <f t="shared" si="33"/>
        <v>285.0199625</v>
      </c>
      <c r="BM17" s="5">
        <f t="shared" si="34"/>
        <v>2935.6679625</v>
      </c>
      <c r="BN17" s="35">
        <f t="shared" si="35"/>
        <v>224.9130767</v>
      </c>
      <c r="BO17" s="35">
        <f t="shared" si="36"/>
        <v>2.3369593</v>
      </c>
      <c r="BP17" s="5"/>
      <c r="BQ17" s="35">
        <f t="shared" si="124"/>
        <v>566.104</v>
      </c>
      <c r="BR17" s="35">
        <f t="shared" si="37"/>
        <v>60.8722625</v>
      </c>
      <c r="BS17" s="5">
        <f t="shared" si="38"/>
        <v>626.9762625000001</v>
      </c>
      <c r="BT17" s="35">
        <f t="shared" si="39"/>
        <v>48.035119099999996</v>
      </c>
      <c r="BU17" s="35"/>
      <c r="BV17" s="5"/>
      <c r="BW17" s="35">
        <f t="shared" si="125"/>
        <v>541427.04</v>
      </c>
      <c r="BX17" s="35">
        <f t="shared" si="40"/>
        <v>58218.78825</v>
      </c>
      <c r="BY17" s="5">
        <f t="shared" si="41"/>
        <v>599645.82825</v>
      </c>
      <c r="BZ17" s="35">
        <f t="shared" si="42"/>
        <v>45941.226966</v>
      </c>
      <c r="CA17" s="35">
        <f t="shared" si="43"/>
        <v>477.352314</v>
      </c>
      <c r="CB17" s="5"/>
      <c r="CC17" s="35">
        <f t="shared" si="126"/>
        <v>1044.12</v>
      </c>
      <c r="CD17" s="35">
        <f t="shared" si="44"/>
        <v>112.2725625</v>
      </c>
      <c r="CE17" s="5">
        <f t="shared" si="45"/>
        <v>1156.3925625</v>
      </c>
      <c r="CF17" s="35">
        <f t="shared" si="46"/>
        <v>88.5957855</v>
      </c>
      <c r="CG17" s="35">
        <f t="shared" si="47"/>
        <v>0.9205545</v>
      </c>
      <c r="CH17" s="5"/>
      <c r="CI17" s="35">
        <f t="shared" si="127"/>
        <v>620.312</v>
      </c>
      <c r="CJ17" s="35">
        <f t="shared" si="48"/>
        <v>66.7011625</v>
      </c>
      <c r="CK17" s="5">
        <f t="shared" si="49"/>
        <v>687.0131625</v>
      </c>
      <c r="CL17" s="35">
        <f t="shared" si="50"/>
        <v>52.6347823</v>
      </c>
      <c r="CM17" s="35">
        <f t="shared" si="51"/>
        <v>0.5469016999999999</v>
      </c>
      <c r="CN17" s="5"/>
      <c r="CO17" s="35">
        <f t="shared" si="128"/>
        <v>38704.512</v>
      </c>
      <c r="CP17" s="35">
        <f t="shared" si="52"/>
        <v>4161.8346</v>
      </c>
      <c r="CQ17" s="5">
        <f t="shared" si="53"/>
        <v>42866.346600000004</v>
      </c>
      <c r="CR17" s="35">
        <f t="shared" si="54"/>
        <v>3284.1595248</v>
      </c>
      <c r="CS17" s="35">
        <f t="shared" si="55"/>
        <v>34.1240592</v>
      </c>
      <c r="CT17" s="5"/>
      <c r="CU17" s="35">
        <f t="shared" si="129"/>
        <v>4088.3920000000003</v>
      </c>
      <c r="CV17" s="35">
        <f t="shared" si="56"/>
        <v>439.6182875</v>
      </c>
      <c r="CW17" s="5">
        <f t="shared" si="57"/>
        <v>4528.0102875</v>
      </c>
      <c r="CX17" s="35">
        <f t="shared" si="58"/>
        <v>346.9086893</v>
      </c>
      <c r="CY17" s="35">
        <f t="shared" si="59"/>
        <v>3.6045547</v>
      </c>
      <c r="CZ17" s="5"/>
      <c r="DA17" s="35">
        <f>$C17*DB$6</f>
        <v>11168.696</v>
      </c>
      <c r="DB17" s="35">
        <f t="shared" si="60"/>
        <v>1200.9521125</v>
      </c>
      <c r="DC17" s="5">
        <f t="shared" si="61"/>
        <v>12369.6481125</v>
      </c>
      <c r="DD17" s="35">
        <f t="shared" si="62"/>
        <v>947.6874259</v>
      </c>
      <c r="DE17" s="35">
        <f t="shared" si="63"/>
        <v>9.8469461</v>
      </c>
      <c r="DF17" s="5"/>
      <c r="DG17" s="35">
        <f t="shared" si="130"/>
        <v>109248.216</v>
      </c>
      <c r="DH17" s="35">
        <f t="shared" si="64"/>
        <v>11747.286862500001</v>
      </c>
      <c r="DI17" s="35">
        <f t="shared" si="65"/>
        <v>120995.5028625</v>
      </c>
      <c r="DJ17" s="35">
        <f t="shared" si="66"/>
        <v>9269.9416839</v>
      </c>
      <c r="DK17" s="35">
        <f t="shared" si="67"/>
        <v>96.3193281</v>
      </c>
      <c r="DL17" s="5"/>
      <c r="DM17" s="35">
        <f t="shared" si="131"/>
        <v>15087.072</v>
      </c>
      <c r="DN17" s="35">
        <f t="shared" si="68"/>
        <v>1622.28885</v>
      </c>
      <c r="DO17" s="35">
        <f t="shared" si="69"/>
        <v>16709.36085</v>
      </c>
      <c r="DP17" s="35">
        <f t="shared" si="70"/>
        <v>1280.1698988</v>
      </c>
      <c r="DQ17" s="35">
        <f t="shared" si="71"/>
        <v>13.3016052</v>
      </c>
      <c r="DR17" s="5"/>
      <c r="DS17" s="35">
        <f t="shared" si="132"/>
        <v>60269.439999999995</v>
      </c>
      <c r="DT17" s="35">
        <f t="shared" si="72"/>
        <v>6480.677</v>
      </c>
      <c r="DU17" s="5">
        <f t="shared" si="73"/>
        <v>66750.117</v>
      </c>
      <c r="DV17" s="35">
        <f t="shared" si="74"/>
        <v>5113.989176</v>
      </c>
      <c r="DW17" s="35">
        <f t="shared" si="75"/>
        <v>53.136903999999994</v>
      </c>
      <c r="DX17" s="5"/>
      <c r="DY17" s="35">
        <f t="shared" si="133"/>
        <v>484637.99999999994</v>
      </c>
      <c r="DZ17" s="35">
        <f t="shared" si="76"/>
        <v>52112.353124999994</v>
      </c>
      <c r="EA17" s="35">
        <f t="shared" si="77"/>
        <v>536750.3531249999</v>
      </c>
      <c r="EB17" s="35">
        <f t="shared" si="78"/>
        <v>41122.557075</v>
      </c>
      <c r="EC17" s="35">
        <f t="shared" si="79"/>
        <v>427.28392499999995</v>
      </c>
      <c r="ED17" s="5"/>
      <c r="EE17" s="35">
        <f t="shared" si="134"/>
        <v>724006.36</v>
      </c>
      <c r="EF17" s="35">
        <f t="shared" si="80"/>
        <v>77851.2520625</v>
      </c>
      <c r="EG17" s="5">
        <f t="shared" si="81"/>
        <v>801857.6120625</v>
      </c>
      <c r="EH17" s="35">
        <f t="shared" si="82"/>
        <v>61433.4675815</v>
      </c>
      <c r="EI17" s="35">
        <f t="shared" si="83"/>
        <v>638.3244385</v>
      </c>
      <c r="EJ17" s="5"/>
      <c r="EK17" s="35">
        <f t="shared" si="135"/>
        <v>6034.335999999999</v>
      </c>
      <c r="EL17" s="35">
        <f t="shared" si="84"/>
        <v>648.8625499999999</v>
      </c>
      <c r="EM17" s="5">
        <f t="shared" si="85"/>
        <v>6683.198549999999</v>
      </c>
      <c r="EN17" s="35">
        <f t="shared" si="86"/>
        <v>512.0261444</v>
      </c>
      <c r="EO17" s="35">
        <f t="shared" si="87"/>
        <v>5.3202076</v>
      </c>
      <c r="EP17" s="5"/>
      <c r="EQ17" s="35">
        <f t="shared" si="136"/>
        <v>231383.768</v>
      </c>
      <c r="ER17" s="35">
        <f t="shared" si="88"/>
        <v>24880.3284625</v>
      </c>
      <c r="ES17" s="5">
        <f t="shared" si="89"/>
        <v>256264.09646250002</v>
      </c>
      <c r="ET17" s="35">
        <f t="shared" si="90"/>
        <v>19633.4010247</v>
      </c>
      <c r="EU17" s="35">
        <f t="shared" si="91"/>
        <v>204.0008513</v>
      </c>
      <c r="EV17" s="5"/>
      <c r="EW17" s="35">
        <f t="shared" si="137"/>
        <v>386060.13599999994</v>
      </c>
      <c r="EX17" s="35">
        <f t="shared" si="92"/>
        <v>41512.4322375</v>
      </c>
      <c r="EY17" s="5">
        <f t="shared" si="93"/>
        <v>427572.5682374999</v>
      </c>
      <c r="EZ17" s="35">
        <f t="shared" si="94"/>
        <v>32758.0172769</v>
      </c>
      <c r="FA17" s="35">
        <f t="shared" si="95"/>
        <v>340.3721751</v>
      </c>
      <c r="FB17" s="5"/>
      <c r="FC17" s="35">
        <f t="shared" si="138"/>
        <v>330521.576</v>
      </c>
      <c r="FD17" s="35">
        <f t="shared" si="96"/>
        <v>35540.4592375</v>
      </c>
      <c r="FE17" s="5">
        <f t="shared" si="97"/>
        <v>366062.0352375</v>
      </c>
      <c r="FF17" s="35">
        <f t="shared" si="98"/>
        <v>28045.4532529</v>
      </c>
      <c r="FG17" s="35">
        <f t="shared" si="99"/>
        <v>291.4062791</v>
      </c>
      <c r="FH17" s="5"/>
      <c r="FI17" s="35">
        <f t="shared" si="139"/>
        <v>327742.184</v>
      </c>
      <c r="FJ17" s="35">
        <f t="shared" si="100"/>
        <v>35241.5956375</v>
      </c>
      <c r="FK17" s="5">
        <f t="shared" si="101"/>
        <v>362983.7796375</v>
      </c>
      <c r="FL17" s="35">
        <f t="shared" si="102"/>
        <v>27809.615976099998</v>
      </c>
      <c r="FM17" s="35">
        <f t="shared" si="103"/>
        <v>288.9558119</v>
      </c>
      <c r="FN17" s="5"/>
      <c r="FO17" s="35">
        <f t="shared" si="140"/>
        <v>475210.736</v>
      </c>
      <c r="FP17" s="35">
        <f t="shared" si="104"/>
        <v>51098.65442499999</v>
      </c>
      <c r="FQ17" s="35">
        <f t="shared" si="105"/>
        <v>526309.390425</v>
      </c>
      <c r="FR17" s="35">
        <f t="shared" si="106"/>
        <v>40322.633829399994</v>
      </c>
      <c r="FS17" s="35">
        <f t="shared" si="107"/>
        <v>418.9723226</v>
      </c>
      <c r="FT17" s="5"/>
      <c r="FU17" s="35">
        <f t="shared" si="141"/>
        <v>601931.792</v>
      </c>
      <c r="FV17" s="35">
        <f t="shared" si="108"/>
        <v>64724.767975</v>
      </c>
      <c r="FW17" s="35">
        <f t="shared" si="109"/>
        <v>666656.559975</v>
      </c>
      <c r="FX17" s="35">
        <f t="shared" si="110"/>
        <v>51075.1828618</v>
      </c>
      <c r="FY17" s="35">
        <f t="shared" si="111"/>
        <v>530.6966822</v>
      </c>
      <c r="FZ17" s="5"/>
      <c r="GA17" s="35">
        <f t="shared" si="142"/>
        <v>2777.544</v>
      </c>
      <c r="GB17" s="35">
        <f t="shared" si="112"/>
        <v>298.6648875</v>
      </c>
      <c r="GC17" s="5">
        <f t="shared" si="113"/>
        <v>3076.2088875</v>
      </c>
      <c r="GD17" s="35">
        <f t="shared" si="114"/>
        <v>235.6804701</v>
      </c>
      <c r="GE17" s="35">
        <f t="shared" si="115"/>
        <v>2.4488379</v>
      </c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</row>
    <row r="18" spans="1:230" ht="12.75">
      <c r="A18" s="36">
        <v>46661</v>
      </c>
      <c r="D18" s="3">
        <v>508375</v>
      </c>
      <c r="E18" s="34">
        <f t="shared" si="0"/>
        <v>508375</v>
      </c>
      <c r="F18" s="34">
        <v>522689</v>
      </c>
      <c r="G18" s="34">
        <v>5431</v>
      </c>
      <c r="I18" s="35">
        <f>'2019C Academic'!I18</f>
        <v>0</v>
      </c>
      <c r="J18" s="35">
        <f>'2019C Academic'!J18</f>
        <v>113485.05962500001</v>
      </c>
      <c r="K18" s="35">
        <f t="shared" si="1"/>
        <v>113485.05962500001</v>
      </c>
      <c r="L18" s="35">
        <f>'2019C Academic'!L18</f>
        <v>116680.38815900001</v>
      </c>
      <c r="M18" s="35">
        <f>'2019C Academic'!M18</f>
        <v>1212.3675610000003</v>
      </c>
      <c r="O18" s="35"/>
      <c r="P18" s="34">
        <f t="shared" si="2"/>
        <v>394889.940375</v>
      </c>
      <c r="Q18" s="5">
        <f t="shared" si="3"/>
        <v>394889.940375</v>
      </c>
      <c r="R18" s="34">
        <f t="shared" si="4"/>
        <v>406008.61184100003</v>
      </c>
      <c r="S18" s="34">
        <f t="shared" si="4"/>
        <v>4218.1333301</v>
      </c>
      <c r="U18" s="35"/>
      <c r="V18" s="35">
        <f t="shared" si="5"/>
        <v>110.41905</v>
      </c>
      <c r="W18" s="5">
        <f t="shared" si="6"/>
        <v>110.41905</v>
      </c>
      <c r="X18" s="35">
        <f t="shared" si="7"/>
        <v>113.5280508</v>
      </c>
      <c r="Y18" s="35">
        <f t="shared" si="8"/>
        <v>1.1796132</v>
      </c>
      <c r="AA18" s="35"/>
      <c r="AB18" s="35">
        <f t="shared" si="9"/>
        <v>11750.8339375</v>
      </c>
      <c r="AC18" s="5">
        <f t="shared" si="10"/>
        <v>11750.8339375</v>
      </c>
      <c r="AD18" s="35">
        <f t="shared" si="11"/>
        <v>12081.694890499999</v>
      </c>
      <c r="AE18" s="35">
        <f t="shared" si="12"/>
        <v>125.53484949999999</v>
      </c>
      <c r="AG18" s="35"/>
      <c r="AH18" s="35">
        <f t="shared" si="13"/>
        <v>721.0282625</v>
      </c>
      <c r="AI18" s="35">
        <f t="shared" si="14"/>
        <v>721.0282625</v>
      </c>
      <c r="AJ18" s="35">
        <f t="shared" si="15"/>
        <v>741.3298087</v>
      </c>
      <c r="AK18" s="35">
        <f t="shared" si="16"/>
        <v>7.7027873</v>
      </c>
      <c r="AM18" s="35"/>
      <c r="AN18" s="35">
        <f t="shared" si="17"/>
        <v>5214.8599125</v>
      </c>
      <c r="AO18" s="5">
        <f t="shared" si="18"/>
        <v>5214.8599125</v>
      </c>
      <c r="AP18" s="35">
        <f t="shared" si="19"/>
        <v>5361.6914931</v>
      </c>
      <c r="AQ18" s="35">
        <f t="shared" si="20"/>
        <v>55.7106549</v>
      </c>
      <c r="AS18" s="35"/>
      <c r="AT18" s="35">
        <f t="shared" si="21"/>
        <v>4124.7514</v>
      </c>
      <c r="AU18" s="5">
        <f t="shared" si="22"/>
        <v>4124.7514</v>
      </c>
      <c r="AV18" s="35">
        <f t="shared" si="23"/>
        <v>4240.8894704</v>
      </c>
      <c r="AW18" s="35">
        <f t="shared" si="24"/>
        <v>44.064961600000004</v>
      </c>
      <c r="AY18" s="35"/>
      <c r="AZ18" s="35">
        <f t="shared" si="25"/>
        <v>1100.32685</v>
      </c>
      <c r="BA18" s="5">
        <f t="shared" si="26"/>
        <v>1100.32685</v>
      </c>
      <c r="BB18" s="35">
        <f t="shared" si="27"/>
        <v>1131.3080716</v>
      </c>
      <c r="BC18" s="35">
        <f t="shared" si="28"/>
        <v>11.7548564</v>
      </c>
      <c r="BE18" s="35"/>
      <c r="BF18" s="35">
        <f t="shared" si="29"/>
        <v>12441.56305</v>
      </c>
      <c r="BG18" s="5">
        <f t="shared" si="30"/>
        <v>12441.56305</v>
      </c>
      <c r="BH18" s="35">
        <f t="shared" si="31"/>
        <v>12791.8724348</v>
      </c>
      <c r="BI18" s="35">
        <f t="shared" si="32"/>
        <v>132.9139492</v>
      </c>
      <c r="BJ18" s="5"/>
      <c r="BK18" s="35"/>
      <c r="BL18" s="35">
        <f t="shared" si="33"/>
        <v>218.7537625</v>
      </c>
      <c r="BM18" s="5">
        <f t="shared" si="34"/>
        <v>218.7537625</v>
      </c>
      <c r="BN18" s="35">
        <f t="shared" si="35"/>
        <v>224.9130767</v>
      </c>
      <c r="BO18" s="35">
        <f t="shared" si="36"/>
        <v>2.3369593</v>
      </c>
      <c r="BP18" s="5"/>
      <c r="BQ18" s="35"/>
      <c r="BR18" s="35">
        <f t="shared" si="37"/>
        <v>46.7196625</v>
      </c>
      <c r="BS18" s="5">
        <f t="shared" si="38"/>
        <v>46.7196625</v>
      </c>
      <c r="BT18" s="35">
        <f t="shared" si="39"/>
        <v>48.035119099999996</v>
      </c>
      <c r="BU18" s="35"/>
      <c r="BV18" s="5"/>
      <c r="BW18" s="35"/>
      <c r="BX18" s="35">
        <f t="shared" si="40"/>
        <v>44683.11225</v>
      </c>
      <c r="BY18" s="5">
        <f t="shared" si="41"/>
        <v>44683.11225</v>
      </c>
      <c r="BZ18" s="35">
        <f t="shared" si="42"/>
        <v>45941.226966</v>
      </c>
      <c r="CA18" s="35">
        <f t="shared" si="43"/>
        <v>477.352314</v>
      </c>
      <c r="CB18" s="5"/>
      <c r="CC18" s="35"/>
      <c r="CD18" s="35">
        <f t="shared" si="44"/>
        <v>86.1695625</v>
      </c>
      <c r="CE18" s="5">
        <f t="shared" si="45"/>
        <v>86.1695625</v>
      </c>
      <c r="CF18" s="35">
        <f t="shared" si="46"/>
        <v>88.5957855</v>
      </c>
      <c r="CG18" s="35">
        <f t="shared" si="47"/>
        <v>0.9205545</v>
      </c>
      <c r="CH18" s="5"/>
      <c r="CI18" s="35"/>
      <c r="CJ18" s="35">
        <f t="shared" si="48"/>
        <v>51.1933625</v>
      </c>
      <c r="CK18" s="5">
        <f t="shared" si="49"/>
        <v>51.1933625</v>
      </c>
      <c r="CL18" s="35">
        <f t="shared" si="50"/>
        <v>52.6347823</v>
      </c>
      <c r="CM18" s="35">
        <f t="shared" si="51"/>
        <v>0.5469016999999999</v>
      </c>
      <c r="CN18" s="5"/>
      <c r="CO18" s="35"/>
      <c r="CP18" s="35">
        <f t="shared" si="52"/>
        <v>3194.2218000000003</v>
      </c>
      <c r="CQ18" s="5">
        <f t="shared" si="53"/>
        <v>3194.2218000000003</v>
      </c>
      <c r="CR18" s="35">
        <f t="shared" si="54"/>
        <v>3284.1595248</v>
      </c>
      <c r="CS18" s="35">
        <f t="shared" si="55"/>
        <v>34.1240592</v>
      </c>
      <c r="CT18" s="5"/>
      <c r="CU18" s="35"/>
      <c r="CV18" s="35">
        <f t="shared" si="56"/>
        <v>337.40848750000004</v>
      </c>
      <c r="CW18" s="5">
        <f t="shared" si="57"/>
        <v>337.40848750000004</v>
      </c>
      <c r="CX18" s="35">
        <f t="shared" si="58"/>
        <v>346.9086893</v>
      </c>
      <c r="CY18" s="35">
        <f t="shared" si="59"/>
        <v>3.6045547</v>
      </c>
      <c r="CZ18" s="5"/>
      <c r="DA18" s="35"/>
      <c r="DB18" s="35">
        <f t="shared" si="60"/>
        <v>921.7347125</v>
      </c>
      <c r="DC18" s="5">
        <f t="shared" si="61"/>
        <v>921.7347125</v>
      </c>
      <c r="DD18" s="35">
        <f t="shared" si="62"/>
        <v>947.6874259</v>
      </c>
      <c r="DE18" s="35">
        <f t="shared" si="63"/>
        <v>9.8469461</v>
      </c>
      <c r="DF18" s="5"/>
      <c r="DG18" s="35"/>
      <c r="DH18" s="35">
        <f t="shared" si="64"/>
        <v>9016.0814625</v>
      </c>
      <c r="DI18" s="35">
        <f t="shared" si="65"/>
        <v>9016.0814625</v>
      </c>
      <c r="DJ18" s="35">
        <f t="shared" si="66"/>
        <v>9269.9416839</v>
      </c>
      <c r="DK18" s="35">
        <f t="shared" si="67"/>
        <v>96.3193281</v>
      </c>
      <c r="DL18" s="5"/>
      <c r="DM18" s="35"/>
      <c r="DN18" s="35">
        <f t="shared" si="68"/>
        <v>1245.11205</v>
      </c>
      <c r="DO18" s="35">
        <f t="shared" si="69"/>
        <v>1245.11205</v>
      </c>
      <c r="DP18" s="35">
        <f t="shared" si="70"/>
        <v>1280.1698988</v>
      </c>
      <c r="DQ18" s="35">
        <f t="shared" si="71"/>
        <v>13.3016052</v>
      </c>
      <c r="DR18" s="5"/>
      <c r="DS18" s="35"/>
      <c r="DT18" s="35">
        <f t="shared" si="72"/>
        <v>4973.941</v>
      </c>
      <c r="DU18" s="5">
        <f t="shared" si="73"/>
        <v>4973.941</v>
      </c>
      <c r="DV18" s="35">
        <f t="shared" si="74"/>
        <v>5113.989176</v>
      </c>
      <c r="DW18" s="35">
        <f t="shared" si="75"/>
        <v>53.136903999999994</v>
      </c>
      <c r="DX18" s="5"/>
      <c r="DY18" s="35"/>
      <c r="DZ18" s="35">
        <f t="shared" si="76"/>
        <v>39996.403125</v>
      </c>
      <c r="EA18" s="35">
        <f t="shared" si="77"/>
        <v>39996.403125</v>
      </c>
      <c r="EB18" s="35">
        <f t="shared" si="78"/>
        <v>41122.557075</v>
      </c>
      <c r="EC18" s="35">
        <f t="shared" si="79"/>
        <v>427.28392499999995</v>
      </c>
      <c r="ED18" s="5"/>
      <c r="EE18" s="35"/>
      <c r="EF18" s="35">
        <f t="shared" si="80"/>
        <v>59751.0930625</v>
      </c>
      <c r="EG18" s="5">
        <f t="shared" si="81"/>
        <v>59751.0930625</v>
      </c>
      <c r="EH18" s="35">
        <f t="shared" si="82"/>
        <v>61433.4675815</v>
      </c>
      <c r="EI18" s="35">
        <f t="shared" si="83"/>
        <v>638.3244385</v>
      </c>
      <c r="EJ18" s="5"/>
      <c r="EK18" s="35"/>
      <c r="EL18" s="35">
        <f t="shared" si="84"/>
        <v>498.00415</v>
      </c>
      <c r="EM18" s="5">
        <f t="shared" si="85"/>
        <v>498.00415</v>
      </c>
      <c r="EN18" s="35">
        <f t="shared" si="86"/>
        <v>512.0261444</v>
      </c>
      <c r="EO18" s="35">
        <f t="shared" si="87"/>
        <v>5.3202076</v>
      </c>
      <c r="EP18" s="5"/>
      <c r="EQ18" s="35"/>
      <c r="ER18" s="35">
        <f t="shared" si="88"/>
        <v>19095.7342625</v>
      </c>
      <c r="ES18" s="5">
        <f t="shared" si="89"/>
        <v>19095.7342625</v>
      </c>
      <c r="ET18" s="35">
        <f t="shared" si="90"/>
        <v>19633.4010247</v>
      </c>
      <c r="EU18" s="35">
        <f t="shared" si="91"/>
        <v>204.0008513</v>
      </c>
      <c r="EV18" s="5"/>
      <c r="EW18" s="35"/>
      <c r="EX18" s="35">
        <f t="shared" si="92"/>
        <v>31860.928837499996</v>
      </c>
      <c r="EY18" s="5">
        <f t="shared" si="93"/>
        <v>31860.928837499996</v>
      </c>
      <c r="EZ18" s="35">
        <f t="shared" si="94"/>
        <v>32758.0172769</v>
      </c>
      <c r="FA18" s="35">
        <f t="shared" si="95"/>
        <v>340.3721751</v>
      </c>
      <c r="FB18" s="5"/>
      <c r="FC18" s="35"/>
      <c r="FD18" s="35">
        <f t="shared" si="96"/>
        <v>27277.419837499998</v>
      </c>
      <c r="FE18" s="5">
        <f t="shared" si="97"/>
        <v>27277.419837499998</v>
      </c>
      <c r="FF18" s="35">
        <f t="shared" si="98"/>
        <v>28045.4532529</v>
      </c>
      <c r="FG18" s="35">
        <f t="shared" si="99"/>
        <v>291.4062791</v>
      </c>
      <c r="FH18" s="5"/>
      <c r="FI18" s="35"/>
      <c r="FJ18" s="35">
        <f t="shared" si="100"/>
        <v>27048.0410375</v>
      </c>
      <c r="FK18" s="5">
        <f t="shared" si="101"/>
        <v>27048.0410375</v>
      </c>
      <c r="FL18" s="35">
        <f t="shared" si="102"/>
        <v>27809.615976099998</v>
      </c>
      <c r="FM18" s="35">
        <f t="shared" si="103"/>
        <v>288.9558119</v>
      </c>
      <c r="FN18" s="5"/>
      <c r="FO18" s="35"/>
      <c r="FP18" s="35">
        <f t="shared" si="104"/>
        <v>39218.386025</v>
      </c>
      <c r="FQ18" s="35">
        <f t="shared" si="105"/>
        <v>39218.386025</v>
      </c>
      <c r="FR18" s="35">
        <f t="shared" si="106"/>
        <v>40322.633829399994</v>
      </c>
      <c r="FS18" s="35">
        <f t="shared" si="107"/>
        <v>418.9723226</v>
      </c>
      <c r="FT18" s="5"/>
      <c r="FU18" s="35"/>
      <c r="FV18" s="35">
        <f t="shared" si="108"/>
        <v>49676.473175</v>
      </c>
      <c r="FW18" s="35">
        <f t="shared" si="109"/>
        <v>49676.473175</v>
      </c>
      <c r="FX18" s="35">
        <f t="shared" si="110"/>
        <v>51075.1828618</v>
      </c>
      <c r="FY18" s="35">
        <f t="shared" si="111"/>
        <v>530.6966822</v>
      </c>
      <c r="FZ18" s="5"/>
      <c r="GA18" s="35"/>
      <c r="GB18" s="35">
        <f t="shared" si="112"/>
        <v>229.2262875</v>
      </c>
      <c r="GC18" s="5">
        <f t="shared" si="113"/>
        <v>229.2262875</v>
      </c>
      <c r="GD18" s="35">
        <f t="shared" si="114"/>
        <v>235.6804701</v>
      </c>
      <c r="GE18" s="35">
        <f t="shared" si="115"/>
        <v>2.4488379</v>
      </c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</row>
    <row r="19" spans="1:230" ht="12.75">
      <c r="A19" s="36">
        <v>46844</v>
      </c>
      <c r="C19" s="3">
        <v>6460000</v>
      </c>
      <c r="D19" s="3">
        <v>508375</v>
      </c>
      <c r="E19" s="34">
        <f t="shared" si="0"/>
        <v>6968375</v>
      </c>
      <c r="F19" s="34">
        <v>522689</v>
      </c>
      <c r="G19" s="34">
        <v>5431</v>
      </c>
      <c r="I19" s="35">
        <f>'2019C Academic'!I19</f>
        <v>1442072.2599999998</v>
      </c>
      <c r="J19" s="35">
        <f>'2019C Academic'!J19</f>
        <v>113485.05962500001</v>
      </c>
      <c r="K19" s="35">
        <f t="shared" si="1"/>
        <v>1555557.3196249998</v>
      </c>
      <c r="L19" s="35">
        <f>'2019C Academic'!L19</f>
        <v>116680.38815900001</v>
      </c>
      <c r="M19" s="35">
        <f>'2019C Academic'!M19</f>
        <v>1212.3675610000003</v>
      </c>
      <c r="O19" s="35">
        <f>U19+AA19+AG19+AM19+AS19+AY19+BE19+BK19+BQ19+BW19+CC19+CI19+CO19+CU19+DG19+DM19+DS19+DY19+EE19+EK19+EQ19+EW19+FC19+FI19+DA19+FO19+FU19+GA19+GG19</f>
        <v>5017927.74</v>
      </c>
      <c r="P19" s="34">
        <f t="shared" si="2"/>
        <v>394889.940375</v>
      </c>
      <c r="Q19" s="5">
        <f t="shared" si="3"/>
        <v>5412817.680375</v>
      </c>
      <c r="R19" s="34">
        <f t="shared" si="4"/>
        <v>406008.61184100003</v>
      </c>
      <c r="S19" s="34">
        <f t="shared" si="4"/>
        <v>4218.1333301</v>
      </c>
      <c r="U19" s="35">
        <f t="shared" si="116"/>
        <v>1403.1119999999999</v>
      </c>
      <c r="V19" s="35">
        <f t="shared" si="5"/>
        <v>110.41905</v>
      </c>
      <c r="W19" s="5">
        <f t="shared" si="6"/>
        <v>1513.5310499999998</v>
      </c>
      <c r="X19" s="35">
        <f t="shared" si="7"/>
        <v>113.5280508</v>
      </c>
      <c r="Y19" s="35">
        <f t="shared" si="8"/>
        <v>1.1796132</v>
      </c>
      <c r="AA19" s="35">
        <f t="shared" si="117"/>
        <v>149319.66999999998</v>
      </c>
      <c r="AB19" s="35">
        <f t="shared" si="9"/>
        <v>11750.8339375</v>
      </c>
      <c r="AC19" s="5">
        <f t="shared" si="10"/>
        <v>161070.50393749998</v>
      </c>
      <c r="AD19" s="35">
        <f t="shared" si="11"/>
        <v>12081.694890499999</v>
      </c>
      <c r="AE19" s="35">
        <f t="shared" si="12"/>
        <v>125.53484949999999</v>
      </c>
      <c r="AG19" s="35">
        <f t="shared" si="118"/>
        <v>9162.217999999999</v>
      </c>
      <c r="AH19" s="35">
        <f t="shared" si="13"/>
        <v>721.0282625</v>
      </c>
      <c r="AI19" s="35">
        <f t="shared" si="14"/>
        <v>9883.246262499999</v>
      </c>
      <c r="AJ19" s="35">
        <f t="shared" si="15"/>
        <v>741.3298087</v>
      </c>
      <c r="AK19" s="35">
        <f t="shared" si="16"/>
        <v>7.7027873</v>
      </c>
      <c r="AM19" s="35">
        <f t="shared" si="119"/>
        <v>66266.034</v>
      </c>
      <c r="AN19" s="35">
        <f t="shared" si="17"/>
        <v>5214.8599125</v>
      </c>
      <c r="AO19" s="5">
        <f t="shared" si="18"/>
        <v>71480.8939125</v>
      </c>
      <c r="AP19" s="35">
        <f t="shared" si="19"/>
        <v>5361.6914931</v>
      </c>
      <c r="AQ19" s="35">
        <f t="shared" si="20"/>
        <v>55.7106549</v>
      </c>
      <c r="AS19" s="35">
        <f t="shared" si="120"/>
        <v>52413.856</v>
      </c>
      <c r="AT19" s="35">
        <f t="shared" si="21"/>
        <v>4124.7514</v>
      </c>
      <c r="AU19" s="5">
        <f t="shared" si="22"/>
        <v>56538.6074</v>
      </c>
      <c r="AV19" s="35">
        <f t="shared" si="23"/>
        <v>4240.8894704</v>
      </c>
      <c r="AW19" s="35">
        <f t="shared" si="24"/>
        <v>44.064961600000004</v>
      </c>
      <c r="AY19" s="35">
        <f t="shared" si="121"/>
        <v>13982.024</v>
      </c>
      <c r="AZ19" s="35">
        <f t="shared" si="25"/>
        <v>1100.32685</v>
      </c>
      <c r="BA19" s="5">
        <f t="shared" si="26"/>
        <v>15082.350849999999</v>
      </c>
      <c r="BB19" s="35">
        <f t="shared" si="27"/>
        <v>1131.3080716</v>
      </c>
      <c r="BC19" s="35">
        <f t="shared" si="28"/>
        <v>11.7548564</v>
      </c>
      <c r="BE19" s="35">
        <f t="shared" si="122"/>
        <v>158096.872</v>
      </c>
      <c r="BF19" s="35">
        <f t="shared" si="29"/>
        <v>12441.56305</v>
      </c>
      <c r="BG19" s="5">
        <f t="shared" si="30"/>
        <v>170538.43505</v>
      </c>
      <c r="BH19" s="35">
        <f t="shared" si="31"/>
        <v>12791.8724348</v>
      </c>
      <c r="BI19" s="35">
        <f t="shared" si="32"/>
        <v>132.9139492</v>
      </c>
      <c r="BJ19" s="5"/>
      <c r="BK19" s="35">
        <f t="shared" si="123"/>
        <v>2779.738</v>
      </c>
      <c r="BL19" s="35">
        <f t="shared" si="33"/>
        <v>218.7537625</v>
      </c>
      <c r="BM19" s="5">
        <f t="shared" si="34"/>
        <v>2998.4917625</v>
      </c>
      <c r="BN19" s="35">
        <f t="shared" si="35"/>
        <v>224.9130767</v>
      </c>
      <c r="BO19" s="35">
        <f t="shared" si="36"/>
        <v>2.3369593</v>
      </c>
      <c r="BP19" s="5"/>
      <c r="BQ19" s="35">
        <f t="shared" si="124"/>
        <v>593.674</v>
      </c>
      <c r="BR19" s="35">
        <f t="shared" si="37"/>
        <v>46.7196625</v>
      </c>
      <c r="BS19" s="5">
        <f t="shared" si="38"/>
        <v>640.3936625</v>
      </c>
      <c r="BT19" s="35">
        <f t="shared" si="39"/>
        <v>48.035119099999996</v>
      </c>
      <c r="BU19" s="35"/>
      <c r="BV19" s="5"/>
      <c r="BW19" s="35">
        <f t="shared" si="125"/>
        <v>567795.24</v>
      </c>
      <c r="BX19" s="35">
        <f t="shared" si="40"/>
        <v>44683.11225</v>
      </c>
      <c r="BY19" s="5">
        <f t="shared" si="41"/>
        <v>612478.35225</v>
      </c>
      <c r="BZ19" s="35">
        <f t="shared" si="42"/>
        <v>45941.226966</v>
      </c>
      <c r="CA19" s="35">
        <f t="shared" si="43"/>
        <v>477.352314</v>
      </c>
      <c r="CB19" s="5"/>
      <c r="CC19" s="35">
        <f t="shared" si="126"/>
        <v>1094.97</v>
      </c>
      <c r="CD19" s="35">
        <f t="shared" si="44"/>
        <v>86.1695625</v>
      </c>
      <c r="CE19" s="5">
        <f t="shared" si="45"/>
        <v>1181.1395625</v>
      </c>
      <c r="CF19" s="35">
        <f t="shared" si="46"/>
        <v>88.5957855</v>
      </c>
      <c r="CG19" s="35">
        <f t="shared" si="47"/>
        <v>0.9205545</v>
      </c>
      <c r="CH19" s="5"/>
      <c r="CI19" s="35">
        <f t="shared" si="127"/>
        <v>650.5219999999999</v>
      </c>
      <c r="CJ19" s="35">
        <f t="shared" si="48"/>
        <v>51.1933625</v>
      </c>
      <c r="CK19" s="5">
        <f t="shared" si="49"/>
        <v>701.7153625</v>
      </c>
      <c r="CL19" s="35">
        <f t="shared" si="50"/>
        <v>52.6347823</v>
      </c>
      <c r="CM19" s="35">
        <f t="shared" si="51"/>
        <v>0.5469016999999999</v>
      </c>
      <c r="CN19" s="5"/>
      <c r="CO19" s="35">
        <f t="shared" si="128"/>
        <v>40589.472</v>
      </c>
      <c r="CP19" s="35">
        <f t="shared" si="52"/>
        <v>3194.2218000000003</v>
      </c>
      <c r="CQ19" s="5">
        <f t="shared" si="53"/>
        <v>43783.6938</v>
      </c>
      <c r="CR19" s="35">
        <f t="shared" si="54"/>
        <v>3284.1595248</v>
      </c>
      <c r="CS19" s="35">
        <f t="shared" si="55"/>
        <v>34.1240592</v>
      </c>
      <c r="CT19" s="5"/>
      <c r="CU19" s="35">
        <f t="shared" si="129"/>
        <v>4287.502</v>
      </c>
      <c r="CV19" s="35">
        <f t="shared" si="56"/>
        <v>337.40848750000004</v>
      </c>
      <c r="CW19" s="5">
        <f t="shared" si="57"/>
        <v>4624.9104875</v>
      </c>
      <c r="CX19" s="35">
        <f t="shared" si="58"/>
        <v>346.9086893</v>
      </c>
      <c r="CY19" s="35">
        <f t="shared" si="59"/>
        <v>3.6045547</v>
      </c>
      <c r="CZ19" s="5"/>
      <c r="DA19" s="35">
        <f>$C19*DB$6</f>
        <v>11712.626</v>
      </c>
      <c r="DB19" s="35">
        <f t="shared" si="60"/>
        <v>921.7347125</v>
      </c>
      <c r="DC19" s="5">
        <f t="shared" si="61"/>
        <v>12634.3607125</v>
      </c>
      <c r="DD19" s="35">
        <f t="shared" si="62"/>
        <v>947.6874259</v>
      </c>
      <c r="DE19" s="35">
        <f t="shared" si="63"/>
        <v>9.8469461</v>
      </c>
      <c r="DF19" s="5"/>
      <c r="DG19" s="35">
        <f t="shared" si="130"/>
        <v>114568.746</v>
      </c>
      <c r="DH19" s="35">
        <f t="shared" si="64"/>
        <v>9016.0814625</v>
      </c>
      <c r="DI19" s="35">
        <f t="shared" si="65"/>
        <v>123584.8274625</v>
      </c>
      <c r="DJ19" s="35">
        <f t="shared" si="66"/>
        <v>9269.9416839</v>
      </c>
      <c r="DK19" s="35">
        <f t="shared" si="67"/>
        <v>96.3193281</v>
      </c>
      <c r="DL19" s="5"/>
      <c r="DM19" s="35">
        <f t="shared" si="131"/>
        <v>15821.831999999999</v>
      </c>
      <c r="DN19" s="35">
        <f t="shared" si="68"/>
        <v>1245.11205</v>
      </c>
      <c r="DO19" s="35">
        <f t="shared" si="69"/>
        <v>17066.94405</v>
      </c>
      <c r="DP19" s="35">
        <f t="shared" si="70"/>
        <v>1280.1698988</v>
      </c>
      <c r="DQ19" s="35">
        <f t="shared" si="71"/>
        <v>13.3016052</v>
      </c>
      <c r="DR19" s="5"/>
      <c r="DS19" s="35">
        <f t="shared" si="132"/>
        <v>63204.63999999999</v>
      </c>
      <c r="DT19" s="35">
        <f t="shared" si="72"/>
        <v>4973.941</v>
      </c>
      <c r="DU19" s="5">
        <f t="shared" si="73"/>
        <v>68178.58099999999</v>
      </c>
      <c r="DV19" s="35">
        <f t="shared" si="74"/>
        <v>5113.989176</v>
      </c>
      <c r="DW19" s="35">
        <f t="shared" si="75"/>
        <v>53.136903999999994</v>
      </c>
      <c r="DX19" s="5"/>
      <c r="DY19" s="35">
        <f t="shared" si="133"/>
        <v>508240.49999999994</v>
      </c>
      <c r="DZ19" s="35">
        <f t="shared" si="76"/>
        <v>39996.403125</v>
      </c>
      <c r="EA19" s="35">
        <f t="shared" si="77"/>
        <v>548236.903125</v>
      </c>
      <c r="EB19" s="35">
        <f t="shared" si="78"/>
        <v>41122.557075</v>
      </c>
      <c r="EC19" s="35">
        <f t="shared" si="79"/>
        <v>427.28392499999995</v>
      </c>
      <c r="ED19" s="5"/>
      <c r="EE19" s="35">
        <f t="shared" si="134"/>
        <v>759266.41</v>
      </c>
      <c r="EF19" s="35">
        <f t="shared" si="80"/>
        <v>59751.0930625</v>
      </c>
      <c r="EG19" s="5">
        <f t="shared" si="81"/>
        <v>819017.5030625</v>
      </c>
      <c r="EH19" s="35">
        <f t="shared" si="82"/>
        <v>61433.4675815</v>
      </c>
      <c r="EI19" s="35">
        <f t="shared" si="83"/>
        <v>638.3244385</v>
      </c>
      <c r="EJ19" s="5"/>
      <c r="EK19" s="35">
        <f t="shared" si="135"/>
        <v>6328.215999999999</v>
      </c>
      <c r="EL19" s="35">
        <f t="shared" si="84"/>
        <v>498.00415</v>
      </c>
      <c r="EM19" s="5">
        <f t="shared" si="85"/>
        <v>6826.220149999999</v>
      </c>
      <c r="EN19" s="35">
        <f t="shared" si="86"/>
        <v>512.0261444</v>
      </c>
      <c r="EO19" s="35">
        <f t="shared" si="87"/>
        <v>5.3202076</v>
      </c>
      <c r="EP19" s="5"/>
      <c r="EQ19" s="35">
        <f t="shared" si="136"/>
        <v>242652.458</v>
      </c>
      <c r="ER19" s="35">
        <f t="shared" si="88"/>
        <v>19095.7342625</v>
      </c>
      <c r="ES19" s="5">
        <f t="shared" si="89"/>
        <v>261748.1922625</v>
      </c>
      <c r="ET19" s="35">
        <f t="shared" si="90"/>
        <v>19633.4010247</v>
      </c>
      <c r="EU19" s="35">
        <f t="shared" si="91"/>
        <v>204.0008513</v>
      </c>
      <c r="EV19" s="5"/>
      <c r="EW19" s="35">
        <f t="shared" si="137"/>
        <v>404861.76599999995</v>
      </c>
      <c r="EX19" s="35">
        <f t="shared" si="92"/>
        <v>31860.928837499996</v>
      </c>
      <c r="EY19" s="5">
        <f t="shared" si="93"/>
        <v>436722.69483749993</v>
      </c>
      <c r="EZ19" s="35">
        <f t="shared" si="94"/>
        <v>32758.0172769</v>
      </c>
      <c r="FA19" s="35">
        <f t="shared" si="95"/>
        <v>340.3721751</v>
      </c>
      <c r="FB19" s="5"/>
      <c r="FC19" s="35">
        <f t="shared" si="138"/>
        <v>346618.406</v>
      </c>
      <c r="FD19" s="35">
        <f t="shared" si="96"/>
        <v>27277.419837499998</v>
      </c>
      <c r="FE19" s="5">
        <f t="shared" si="97"/>
        <v>373895.82583750004</v>
      </c>
      <c r="FF19" s="35">
        <f t="shared" si="98"/>
        <v>28045.4532529</v>
      </c>
      <c r="FG19" s="35">
        <f t="shared" si="99"/>
        <v>291.4062791</v>
      </c>
      <c r="FH19" s="5"/>
      <c r="FI19" s="35">
        <f t="shared" si="139"/>
        <v>343703.654</v>
      </c>
      <c r="FJ19" s="35">
        <f t="shared" si="100"/>
        <v>27048.0410375</v>
      </c>
      <c r="FK19" s="5">
        <f t="shared" si="101"/>
        <v>370751.6950375</v>
      </c>
      <c r="FL19" s="35">
        <f t="shared" si="102"/>
        <v>27809.615976099998</v>
      </c>
      <c r="FM19" s="35">
        <f t="shared" si="103"/>
        <v>288.9558119</v>
      </c>
      <c r="FN19" s="5"/>
      <c r="FO19" s="35">
        <f t="shared" si="140"/>
        <v>498354.116</v>
      </c>
      <c r="FP19" s="35">
        <f t="shared" si="104"/>
        <v>39218.386025</v>
      </c>
      <c r="FQ19" s="35">
        <f t="shared" si="105"/>
        <v>537572.5020249999</v>
      </c>
      <c r="FR19" s="35">
        <f t="shared" si="106"/>
        <v>40322.633829399994</v>
      </c>
      <c r="FS19" s="35">
        <f t="shared" si="107"/>
        <v>418.9723226</v>
      </c>
      <c r="FT19" s="5"/>
      <c r="FU19" s="35">
        <f t="shared" si="141"/>
        <v>631246.652</v>
      </c>
      <c r="FV19" s="35">
        <f t="shared" si="108"/>
        <v>49676.473175</v>
      </c>
      <c r="FW19" s="35">
        <f t="shared" si="109"/>
        <v>680923.125175</v>
      </c>
      <c r="FX19" s="35">
        <f t="shared" si="110"/>
        <v>51075.1828618</v>
      </c>
      <c r="FY19" s="35">
        <f t="shared" si="111"/>
        <v>530.6966822</v>
      </c>
      <c r="FZ19" s="5"/>
      <c r="GA19" s="35">
        <f t="shared" si="142"/>
        <v>2912.814</v>
      </c>
      <c r="GB19" s="35">
        <f t="shared" si="112"/>
        <v>229.2262875</v>
      </c>
      <c r="GC19" s="5">
        <f t="shared" si="113"/>
        <v>3142.0402875</v>
      </c>
      <c r="GD19" s="35">
        <f t="shared" si="114"/>
        <v>235.6804701</v>
      </c>
      <c r="GE19" s="35">
        <f t="shared" si="115"/>
        <v>2.4488379</v>
      </c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</row>
    <row r="20" spans="1:230" ht="12.75">
      <c r="A20" s="36">
        <v>47027</v>
      </c>
      <c r="D20" s="3">
        <v>346875</v>
      </c>
      <c r="E20" s="34">
        <f t="shared" si="0"/>
        <v>346875</v>
      </c>
      <c r="F20" s="34">
        <v>522689</v>
      </c>
      <c r="G20" s="34">
        <v>5431</v>
      </c>
      <c r="I20" s="35">
        <f>'2019C Academic'!I20</f>
        <v>0</v>
      </c>
      <c r="J20" s="35">
        <f>'2019C Academic'!J20</f>
        <v>77433.253125</v>
      </c>
      <c r="K20" s="35">
        <f t="shared" si="1"/>
        <v>77433.253125</v>
      </c>
      <c r="L20" s="35">
        <f>'2019C Academic'!L20</f>
        <v>116680.38815900001</v>
      </c>
      <c r="M20" s="35">
        <f>'2019C Academic'!M20</f>
        <v>1212.3675610000003</v>
      </c>
      <c r="O20" s="35"/>
      <c r="P20" s="34">
        <f t="shared" si="2"/>
        <v>269441.746875</v>
      </c>
      <c r="Q20" s="5">
        <f t="shared" si="3"/>
        <v>269441.746875</v>
      </c>
      <c r="R20" s="34">
        <f t="shared" si="4"/>
        <v>406008.61184100003</v>
      </c>
      <c r="S20" s="34">
        <f t="shared" si="4"/>
        <v>4218.1333301</v>
      </c>
      <c r="U20" s="35"/>
      <c r="V20" s="35">
        <f t="shared" si="5"/>
        <v>75.34125</v>
      </c>
      <c r="W20" s="5">
        <f t="shared" si="6"/>
        <v>75.34125</v>
      </c>
      <c r="X20" s="35">
        <f t="shared" si="7"/>
        <v>113.5280508</v>
      </c>
      <c r="Y20" s="35">
        <f t="shared" si="8"/>
        <v>1.1796132</v>
      </c>
      <c r="AA20" s="35"/>
      <c r="AB20" s="35">
        <f t="shared" si="9"/>
        <v>8017.842187499999</v>
      </c>
      <c r="AC20" s="5">
        <f t="shared" si="10"/>
        <v>8017.842187499999</v>
      </c>
      <c r="AD20" s="35">
        <f t="shared" si="11"/>
        <v>12081.694890499999</v>
      </c>
      <c r="AE20" s="35">
        <f t="shared" si="12"/>
        <v>125.53484949999999</v>
      </c>
      <c r="AG20" s="35"/>
      <c r="AH20" s="35">
        <f t="shared" si="13"/>
        <v>491.9728125</v>
      </c>
      <c r="AI20" s="35">
        <f t="shared" si="14"/>
        <v>491.9728125</v>
      </c>
      <c r="AJ20" s="35">
        <f t="shared" si="15"/>
        <v>741.3298087</v>
      </c>
      <c r="AK20" s="35">
        <f t="shared" si="16"/>
        <v>7.7027873</v>
      </c>
      <c r="AM20" s="35"/>
      <c r="AN20" s="35">
        <f t="shared" si="17"/>
        <v>3558.2090625</v>
      </c>
      <c r="AO20" s="5">
        <f t="shared" si="18"/>
        <v>3558.2090625</v>
      </c>
      <c r="AP20" s="35">
        <f t="shared" si="19"/>
        <v>5361.6914931</v>
      </c>
      <c r="AQ20" s="35">
        <f t="shared" si="20"/>
        <v>55.7106549</v>
      </c>
      <c r="AS20" s="35"/>
      <c r="AT20" s="35">
        <f t="shared" si="21"/>
        <v>2814.405</v>
      </c>
      <c r="AU20" s="5">
        <f t="shared" si="22"/>
        <v>2814.405</v>
      </c>
      <c r="AV20" s="35">
        <f t="shared" si="23"/>
        <v>4240.8894704</v>
      </c>
      <c r="AW20" s="35">
        <f t="shared" si="24"/>
        <v>44.064961600000004</v>
      </c>
      <c r="AY20" s="35"/>
      <c r="AZ20" s="35">
        <f t="shared" si="25"/>
        <v>750.77625</v>
      </c>
      <c r="BA20" s="5">
        <f t="shared" si="26"/>
        <v>750.77625</v>
      </c>
      <c r="BB20" s="35">
        <f t="shared" si="27"/>
        <v>1131.3080716</v>
      </c>
      <c r="BC20" s="35">
        <f t="shared" si="28"/>
        <v>11.7548564</v>
      </c>
      <c r="BE20" s="35"/>
      <c r="BF20" s="35">
        <f t="shared" si="29"/>
        <v>8489.14125</v>
      </c>
      <c r="BG20" s="5">
        <f t="shared" si="30"/>
        <v>8489.14125</v>
      </c>
      <c r="BH20" s="35">
        <f t="shared" si="31"/>
        <v>12791.8724348</v>
      </c>
      <c r="BI20" s="35">
        <f t="shared" si="32"/>
        <v>132.9139492</v>
      </c>
      <c r="BJ20" s="5"/>
      <c r="BK20" s="35"/>
      <c r="BL20" s="35">
        <f t="shared" si="33"/>
        <v>149.2603125</v>
      </c>
      <c r="BM20" s="5">
        <f t="shared" si="34"/>
        <v>149.2603125</v>
      </c>
      <c r="BN20" s="35">
        <f t="shared" si="35"/>
        <v>224.9130767</v>
      </c>
      <c r="BO20" s="35">
        <f t="shared" si="36"/>
        <v>2.3369593</v>
      </c>
      <c r="BP20" s="5"/>
      <c r="BQ20" s="35"/>
      <c r="BR20" s="35">
        <f t="shared" si="37"/>
        <v>31.877812499999997</v>
      </c>
      <c r="BS20" s="5">
        <f t="shared" si="38"/>
        <v>31.877812499999997</v>
      </c>
      <c r="BT20" s="35">
        <f t="shared" si="39"/>
        <v>48.035119099999996</v>
      </c>
      <c r="BU20" s="35"/>
      <c r="BV20" s="5"/>
      <c r="BW20" s="35"/>
      <c r="BX20" s="35">
        <f t="shared" si="40"/>
        <v>30488.23125</v>
      </c>
      <c r="BY20" s="5">
        <f t="shared" si="41"/>
        <v>30488.23125</v>
      </c>
      <c r="BZ20" s="35">
        <f t="shared" si="42"/>
        <v>45941.226966</v>
      </c>
      <c r="CA20" s="35">
        <f t="shared" si="43"/>
        <v>477.352314</v>
      </c>
      <c r="CB20" s="5"/>
      <c r="CC20" s="35"/>
      <c r="CD20" s="35">
        <f t="shared" si="44"/>
        <v>58.7953125</v>
      </c>
      <c r="CE20" s="5">
        <f t="shared" si="45"/>
        <v>58.7953125</v>
      </c>
      <c r="CF20" s="35">
        <f t="shared" si="46"/>
        <v>88.5957855</v>
      </c>
      <c r="CG20" s="35">
        <f t="shared" si="47"/>
        <v>0.9205545</v>
      </c>
      <c r="CH20" s="5"/>
      <c r="CI20" s="35"/>
      <c r="CJ20" s="35">
        <f t="shared" si="48"/>
        <v>34.9303125</v>
      </c>
      <c r="CK20" s="5">
        <f t="shared" si="49"/>
        <v>34.9303125</v>
      </c>
      <c r="CL20" s="35">
        <f t="shared" si="50"/>
        <v>52.6347823</v>
      </c>
      <c r="CM20" s="35">
        <f t="shared" si="51"/>
        <v>0.5469016999999999</v>
      </c>
      <c r="CN20" s="5"/>
      <c r="CO20" s="35"/>
      <c r="CP20" s="35">
        <f t="shared" si="52"/>
        <v>2179.485</v>
      </c>
      <c r="CQ20" s="5">
        <f t="shared" si="53"/>
        <v>2179.485</v>
      </c>
      <c r="CR20" s="35">
        <f t="shared" si="54"/>
        <v>3284.1595248</v>
      </c>
      <c r="CS20" s="35">
        <f t="shared" si="55"/>
        <v>34.1240592</v>
      </c>
      <c r="CT20" s="5"/>
      <c r="CU20" s="35"/>
      <c r="CV20" s="35">
        <f t="shared" si="56"/>
        <v>230.22093750000002</v>
      </c>
      <c r="CW20" s="5">
        <f t="shared" si="57"/>
        <v>230.22093750000002</v>
      </c>
      <c r="CX20" s="35">
        <f t="shared" si="58"/>
        <v>346.9086893</v>
      </c>
      <c r="CY20" s="35">
        <f t="shared" si="59"/>
        <v>3.6045547</v>
      </c>
      <c r="CZ20" s="5"/>
      <c r="DA20" s="35"/>
      <c r="DB20" s="35">
        <f t="shared" si="60"/>
        <v>628.9190625</v>
      </c>
      <c r="DC20" s="5">
        <f t="shared" si="61"/>
        <v>628.9190625</v>
      </c>
      <c r="DD20" s="35">
        <f t="shared" si="62"/>
        <v>947.6874259</v>
      </c>
      <c r="DE20" s="35">
        <f t="shared" si="63"/>
        <v>9.8469461</v>
      </c>
      <c r="DF20" s="5"/>
      <c r="DG20" s="35"/>
      <c r="DH20" s="35">
        <f t="shared" si="64"/>
        <v>6151.8628125000005</v>
      </c>
      <c r="DI20" s="35">
        <f t="shared" si="65"/>
        <v>6151.8628125000005</v>
      </c>
      <c r="DJ20" s="35">
        <f t="shared" si="66"/>
        <v>9269.9416839</v>
      </c>
      <c r="DK20" s="35">
        <f t="shared" si="67"/>
        <v>96.3193281</v>
      </c>
      <c r="DL20" s="5"/>
      <c r="DM20" s="35"/>
      <c r="DN20" s="35">
        <f t="shared" si="68"/>
        <v>849.56625</v>
      </c>
      <c r="DO20" s="35">
        <f t="shared" si="69"/>
        <v>849.56625</v>
      </c>
      <c r="DP20" s="35">
        <f t="shared" si="70"/>
        <v>1280.1698988</v>
      </c>
      <c r="DQ20" s="35">
        <f t="shared" si="71"/>
        <v>13.3016052</v>
      </c>
      <c r="DR20" s="5"/>
      <c r="DS20" s="35"/>
      <c r="DT20" s="35">
        <f t="shared" si="72"/>
        <v>3393.825</v>
      </c>
      <c r="DU20" s="5">
        <f t="shared" si="73"/>
        <v>3393.825</v>
      </c>
      <c r="DV20" s="35">
        <f t="shared" si="74"/>
        <v>5113.989176</v>
      </c>
      <c r="DW20" s="35">
        <f t="shared" si="75"/>
        <v>53.136903999999994</v>
      </c>
      <c r="DX20" s="5"/>
      <c r="DY20" s="35"/>
      <c r="DZ20" s="35">
        <f t="shared" si="76"/>
        <v>27290.390625</v>
      </c>
      <c r="EA20" s="35">
        <f t="shared" si="77"/>
        <v>27290.390625</v>
      </c>
      <c r="EB20" s="35">
        <f t="shared" si="78"/>
        <v>41122.557075</v>
      </c>
      <c r="EC20" s="35">
        <f t="shared" si="79"/>
        <v>427.28392499999995</v>
      </c>
      <c r="ED20" s="5"/>
      <c r="EE20" s="35"/>
      <c r="EF20" s="35">
        <f t="shared" si="80"/>
        <v>40769.4328125</v>
      </c>
      <c r="EG20" s="5">
        <f t="shared" si="81"/>
        <v>40769.4328125</v>
      </c>
      <c r="EH20" s="35">
        <f t="shared" si="82"/>
        <v>61433.4675815</v>
      </c>
      <c r="EI20" s="35">
        <f t="shared" si="83"/>
        <v>638.3244385</v>
      </c>
      <c r="EJ20" s="5"/>
      <c r="EK20" s="35"/>
      <c r="EL20" s="35">
        <f t="shared" si="84"/>
        <v>339.79875</v>
      </c>
      <c r="EM20" s="5">
        <f t="shared" si="85"/>
        <v>339.79875</v>
      </c>
      <c r="EN20" s="35">
        <f t="shared" si="86"/>
        <v>512.0261444</v>
      </c>
      <c r="EO20" s="35">
        <f t="shared" si="87"/>
        <v>5.3202076</v>
      </c>
      <c r="EP20" s="5"/>
      <c r="EQ20" s="35"/>
      <c r="ER20" s="35">
        <f t="shared" si="88"/>
        <v>13029.422812499999</v>
      </c>
      <c r="ES20" s="5">
        <f t="shared" si="89"/>
        <v>13029.422812499999</v>
      </c>
      <c r="ET20" s="35">
        <f t="shared" si="90"/>
        <v>19633.4010247</v>
      </c>
      <c r="EU20" s="35">
        <f t="shared" si="91"/>
        <v>204.0008513</v>
      </c>
      <c r="EV20" s="5"/>
      <c r="EW20" s="35"/>
      <c r="EX20" s="35">
        <f t="shared" si="92"/>
        <v>21739.384687499998</v>
      </c>
      <c r="EY20" s="5">
        <f t="shared" si="93"/>
        <v>21739.384687499998</v>
      </c>
      <c r="EZ20" s="35">
        <f t="shared" si="94"/>
        <v>32758.0172769</v>
      </c>
      <c r="FA20" s="35">
        <f t="shared" si="95"/>
        <v>340.3721751</v>
      </c>
      <c r="FB20" s="5"/>
      <c r="FC20" s="35"/>
      <c r="FD20" s="35">
        <f t="shared" si="96"/>
        <v>18611.9596875</v>
      </c>
      <c r="FE20" s="5">
        <f t="shared" si="97"/>
        <v>18611.9596875</v>
      </c>
      <c r="FF20" s="35">
        <f t="shared" si="98"/>
        <v>28045.4532529</v>
      </c>
      <c r="FG20" s="35">
        <f t="shared" si="99"/>
        <v>291.4062791</v>
      </c>
      <c r="FH20" s="5"/>
      <c r="FI20" s="35"/>
      <c r="FJ20" s="35">
        <f t="shared" si="100"/>
        <v>18455.4496875</v>
      </c>
      <c r="FK20" s="5">
        <f t="shared" si="101"/>
        <v>18455.4496875</v>
      </c>
      <c r="FL20" s="35">
        <f t="shared" si="102"/>
        <v>27809.615976099998</v>
      </c>
      <c r="FM20" s="35">
        <f t="shared" si="103"/>
        <v>288.9558119</v>
      </c>
      <c r="FN20" s="5"/>
      <c r="FO20" s="35"/>
      <c r="FP20" s="35">
        <f t="shared" si="104"/>
        <v>26759.533124999998</v>
      </c>
      <c r="FQ20" s="35">
        <f t="shared" si="105"/>
        <v>26759.533124999998</v>
      </c>
      <c r="FR20" s="35">
        <f t="shared" si="106"/>
        <v>40322.633829399994</v>
      </c>
      <c r="FS20" s="35">
        <f t="shared" si="107"/>
        <v>418.9723226</v>
      </c>
      <c r="FT20" s="5"/>
      <c r="FU20" s="35"/>
      <c r="FV20" s="35">
        <f t="shared" si="108"/>
        <v>33895.306875</v>
      </c>
      <c r="FW20" s="35">
        <f t="shared" si="109"/>
        <v>33895.306875</v>
      </c>
      <c r="FX20" s="35">
        <f t="shared" si="110"/>
        <v>51075.1828618</v>
      </c>
      <c r="FY20" s="35">
        <f t="shared" si="111"/>
        <v>530.6966822</v>
      </c>
      <c r="FZ20" s="5"/>
      <c r="GA20" s="35"/>
      <c r="GB20" s="35">
        <f t="shared" si="112"/>
        <v>156.4059375</v>
      </c>
      <c r="GC20" s="5">
        <f t="shared" si="113"/>
        <v>156.4059375</v>
      </c>
      <c r="GD20" s="35">
        <f t="shared" si="114"/>
        <v>235.6804701</v>
      </c>
      <c r="GE20" s="35">
        <f t="shared" si="115"/>
        <v>2.4488379</v>
      </c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</row>
    <row r="21" spans="1:230" ht="12.75">
      <c r="A21" s="36">
        <v>47209</v>
      </c>
      <c r="C21" s="3">
        <v>6775000</v>
      </c>
      <c r="D21" s="3">
        <v>346875</v>
      </c>
      <c r="E21" s="34">
        <f t="shared" si="0"/>
        <v>7121875</v>
      </c>
      <c r="F21" s="34">
        <v>522689</v>
      </c>
      <c r="G21" s="34">
        <v>5431</v>
      </c>
      <c r="I21" s="35">
        <f>'2019C Academic'!I21</f>
        <v>1512390.0250000001</v>
      </c>
      <c r="J21" s="35">
        <f>'2019C Academic'!J21</f>
        <v>77433.253125</v>
      </c>
      <c r="K21" s="35">
        <f t="shared" si="1"/>
        <v>1589823.2781250002</v>
      </c>
      <c r="L21" s="35">
        <f>'2019C Academic'!L21</f>
        <v>116680.38815900001</v>
      </c>
      <c r="M21" s="35">
        <f>'2019C Academic'!M21</f>
        <v>1212.3675610000003</v>
      </c>
      <c r="O21" s="35">
        <f>U21+AA21+AG21+AM21+AS21+AY21+BE21+BK21+BQ21+BW21+CC21+CI21+CO21+CU21+DG21+DM21+DS21+DY21+EE21+EK21+EQ21+EW21+FC21+FI21+DA21+FO21+FU21+GA21+GG21</f>
        <v>5262609.975</v>
      </c>
      <c r="P21" s="34">
        <f t="shared" si="2"/>
        <v>269441.746875</v>
      </c>
      <c r="Q21" s="5">
        <f t="shared" si="3"/>
        <v>5532051.721875</v>
      </c>
      <c r="R21" s="34">
        <f t="shared" si="4"/>
        <v>406008.61184100003</v>
      </c>
      <c r="S21" s="34">
        <f t="shared" si="4"/>
        <v>4218.1333301</v>
      </c>
      <c r="U21" s="35">
        <f t="shared" si="116"/>
        <v>1471.53</v>
      </c>
      <c r="V21" s="35">
        <f t="shared" si="5"/>
        <v>75.34125</v>
      </c>
      <c r="W21" s="5">
        <f t="shared" si="6"/>
        <v>1546.87125</v>
      </c>
      <c r="X21" s="35">
        <f t="shared" si="7"/>
        <v>113.5280508</v>
      </c>
      <c r="Y21" s="35">
        <f t="shared" si="8"/>
        <v>1.1796132</v>
      </c>
      <c r="AA21" s="35">
        <f t="shared" si="117"/>
        <v>156600.7375</v>
      </c>
      <c r="AB21" s="35">
        <f t="shared" si="9"/>
        <v>8017.842187499999</v>
      </c>
      <c r="AC21" s="5">
        <f t="shared" si="10"/>
        <v>164618.5796875</v>
      </c>
      <c r="AD21" s="35">
        <f t="shared" si="11"/>
        <v>12081.694890499999</v>
      </c>
      <c r="AE21" s="35">
        <f t="shared" si="12"/>
        <v>125.53484949999999</v>
      </c>
      <c r="AG21" s="35">
        <f t="shared" si="118"/>
        <v>9608.9825</v>
      </c>
      <c r="AH21" s="35">
        <f t="shared" si="13"/>
        <v>491.9728125</v>
      </c>
      <c r="AI21" s="35">
        <f t="shared" si="14"/>
        <v>10100.9553125</v>
      </c>
      <c r="AJ21" s="35">
        <f t="shared" si="15"/>
        <v>741.3298087</v>
      </c>
      <c r="AK21" s="35">
        <f t="shared" si="16"/>
        <v>7.7027873</v>
      </c>
      <c r="AM21" s="35">
        <f t="shared" si="119"/>
        <v>69497.2725</v>
      </c>
      <c r="AN21" s="35">
        <f t="shared" si="17"/>
        <v>3558.2090625</v>
      </c>
      <c r="AO21" s="5">
        <f t="shared" si="18"/>
        <v>73055.4815625</v>
      </c>
      <c r="AP21" s="35">
        <f t="shared" si="19"/>
        <v>5361.6914931</v>
      </c>
      <c r="AQ21" s="35">
        <f t="shared" si="20"/>
        <v>55.7106549</v>
      </c>
      <c r="AS21" s="35">
        <f t="shared" si="120"/>
        <v>54969.64</v>
      </c>
      <c r="AT21" s="35">
        <f t="shared" si="21"/>
        <v>2814.405</v>
      </c>
      <c r="AU21" s="5">
        <f t="shared" si="22"/>
        <v>57784.045</v>
      </c>
      <c r="AV21" s="35">
        <f t="shared" si="23"/>
        <v>4240.8894704</v>
      </c>
      <c r="AW21" s="35">
        <f t="shared" si="24"/>
        <v>44.064961600000004</v>
      </c>
      <c r="AY21" s="35">
        <f t="shared" si="121"/>
        <v>14663.81</v>
      </c>
      <c r="AZ21" s="35">
        <f t="shared" si="25"/>
        <v>750.77625</v>
      </c>
      <c r="BA21" s="5">
        <f t="shared" si="26"/>
        <v>15414.58625</v>
      </c>
      <c r="BB21" s="35">
        <f t="shared" si="27"/>
        <v>1131.3080716</v>
      </c>
      <c r="BC21" s="35">
        <f t="shared" si="28"/>
        <v>11.7548564</v>
      </c>
      <c r="BE21" s="35">
        <f t="shared" si="122"/>
        <v>165805.93</v>
      </c>
      <c r="BF21" s="35">
        <f t="shared" si="29"/>
        <v>8489.14125</v>
      </c>
      <c r="BG21" s="5">
        <f t="shared" si="30"/>
        <v>174295.07124999998</v>
      </c>
      <c r="BH21" s="35">
        <f t="shared" si="31"/>
        <v>12791.8724348</v>
      </c>
      <c r="BI21" s="35">
        <f t="shared" si="32"/>
        <v>132.9139492</v>
      </c>
      <c r="BJ21" s="5"/>
      <c r="BK21" s="35">
        <f t="shared" si="123"/>
        <v>2915.2825</v>
      </c>
      <c r="BL21" s="35">
        <f t="shared" si="33"/>
        <v>149.2603125</v>
      </c>
      <c r="BM21" s="5">
        <f t="shared" si="34"/>
        <v>3064.5428125</v>
      </c>
      <c r="BN21" s="35">
        <f t="shared" si="35"/>
        <v>224.9130767</v>
      </c>
      <c r="BO21" s="35">
        <f t="shared" si="36"/>
        <v>2.3369593</v>
      </c>
      <c r="BP21" s="5"/>
      <c r="BQ21" s="35">
        <f t="shared" si="124"/>
        <v>622.6225</v>
      </c>
      <c r="BR21" s="35">
        <f t="shared" si="37"/>
        <v>31.877812499999997</v>
      </c>
      <c r="BS21" s="5">
        <f t="shared" si="38"/>
        <v>654.5003125</v>
      </c>
      <c r="BT21" s="35">
        <f t="shared" si="39"/>
        <v>48.035119099999996</v>
      </c>
      <c r="BU21" s="35"/>
      <c r="BV21" s="5"/>
      <c r="BW21" s="35">
        <f t="shared" si="125"/>
        <v>595481.85</v>
      </c>
      <c r="BX21" s="35">
        <f t="shared" si="40"/>
        <v>30488.23125</v>
      </c>
      <c r="BY21" s="5">
        <f t="shared" si="41"/>
        <v>625970.0812499999</v>
      </c>
      <c r="BZ21" s="35">
        <f t="shared" si="42"/>
        <v>45941.226966</v>
      </c>
      <c r="CA21" s="35">
        <f t="shared" si="43"/>
        <v>477.352314</v>
      </c>
      <c r="CB21" s="5"/>
      <c r="CC21" s="35">
        <f t="shared" si="126"/>
        <v>1148.3625</v>
      </c>
      <c r="CD21" s="35">
        <f t="shared" si="44"/>
        <v>58.7953125</v>
      </c>
      <c r="CE21" s="5">
        <f t="shared" si="45"/>
        <v>1207.1578124999999</v>
      </c>
      <c r="CF21" s="35">
        <f t="shared" si="46"/>
        <v>88.5957855</v>
      </c>
      <c r="CG21" s="35">
        <f t="shared" si="47"/>
        <v>0.9205545</v>
      </c>
      <c r="CH21" s="5"/>
      <c r="CI21" s="35">
        <f t="shared" si="127"/>
        <v>682.2425</v>
      </c>
      <c r="CJ21" s="35">
        <f t="shared" si="48"/>
        <v>34.9303125</v>
      </c>
      <c r="CK21" s="5">
        <f t="shared" si="49"/>
        <v>717.1728125</v>
      </c>
      <c r="CL21" s="35">
        <f t="shared" si="50"/>
        <v>52.6347823</v>
      </c>
      <c r="CM21" s="35">
        <f t="shared" si="51"/>
        <v>0.5469016999999999</v>
      </c>
      <c r="CN21" s="5"/>
      <c r="CO21" s="35">
        <f t="shared" si="128"/>
        <v>42568.68</v>
      </c>
      <c r="CP21" s="35">
        <f t="shared" si="52"/>
        <v>2179.485</v>
      </c>
      <c r="CQ21" s="5">
        <f t="shared" si="53"/>
        <v>44748.165</v>
      </c>
      <c r="CR21" s="35">
        <f t="shared" si="54"/>
        <v>3284.1595248</v>
      </c>
      <c r="CS21" s="35">
        <f t="shared" si="55"/>
        <v>34.1240592</v>
      </c>
      <c r="CT21" s="5"/>
      <c r="CU21" s="35">
        <f t="shared" si="129"/>
        <v>4496.5675</v>
      </c>
      <c r="CV21" s="35">
        <f t="shared" si="56"/>
        <v>230.22093750000002</v>
      </c>
      <c r="CW21" s="5">
        <f t="shared" si="57"/>
        <v>4726.7884375</v>
      </c>
      <c r="CX21" s="35">
        <f t="shared" si="58"/>
        <v>346.9086893</v>
      </c>
      <c r="CY21" s="35">
        <f t="shared" si="59"/>
        <v>3.6045547</v>
      </c>
      <c r="CZ21" s="5"/>
      <c r="DA21" s="35">
        <f>$C21*DB$6</f>
        <v>12283.7525</v>
      </c>
      <c r="DB21" s="35">
        <f t="shared" si="60"/>
        <v>628.9190625</v>
      </c>
      <c r="DC21" s="5">
        <f t="shared" si="61"/>
        <v>12912.6715625</v>
      </c>
      <c r="DD21" s="35">
        <f t="shared" si="62"/>
        <v>947.6874259</v>
      </c>
      <c r="DE21" s="35">
        <f t="shared" si="63"/>
        <v>9.8469461</v>
      </c>
      <c r="DF21" s="5"/>
      <c r="DG21" s="35">
        <f t="shared" si="130"/>
        <v>120155.3025</v>
      </c>
      <c r="DH21" s="35">
        <f t="shared" si="64"/>
        <v>6151.8628125000005</v>
      </c>
      <c r="DI21" s="35">
        <f t="shared" si="65"/>
        <v>126307.1653125</v>
      </c>
      <c r="DJ21" s="35">
        <f t="shared" si="66"/>
        <v>9269.9416839</v>
      </c>
      <c r="DK21" s="35">
        <f t="shared" si="67"/>
        <v>96.3193281</v>
      </c>
      <c r="DL21" s="5"/>
      <c r="DM21" s="35">
        <f t="shared" si="131"/>
        <v>16593.329999999998</v>
      </c>
      <c r="DN21" s="35">
        <f t="shared" si="68"/>
        <v>849.56625</v>
      </c>
      <c r="DO21" s="35">
        <f t="shared" si="69"/>
        <v>17442.896249999998</v>
      </c>
      <c r="DP21" s="35">
        <f t="shared" si="70"/>
        <v>1280.1698988</v>
      </c>
      <c r="DQ21" s="35">
        <f t="shared" si="71"/>
        <v>13.3016052</v>
      </c>
      <c r="DR21" s="5"/>
      <c r="DS21" s="35">
        <f t="shared" si="132"/>
        <v>66286.59999999999</v>
      </c>
      <c r="DT21" s="35">
        <f t="shared" si="72"/>
        <v>3393.825</v>
      </c>
      <c r="DU21" s="5">
        <f t="shared" si="73"/>
        <v>69680.42499999999</v>
      </c>
      <c r="DV21" s="35">
        <f t="shared" si="74"/>
        <v>5113.989176</v>
      </c>
      <c r="DW21" s="35">
        <f t="shared" si="75"/>
        <v>53.136903999999994</v>
      </c>
      <c r="DX21" s="5"/>
      <c r="DY21" s="35">
        <f t="shared" si="133"/>
        <v>533023.125</v>
      </c>
      <c r="DZ21" s="35">
        <f t="shared" si="76"/>
        <v>27290.390625</v>
      </c>
      <c r="EA21" s="35">
        <f t="shared" si="77"/>
        <v>560313.515625</v>
      </c>
      <c r="EB21" s="35">
        <f t="shared" si="78"/>
        <v>41122.557075</v>
      </c>
      <c r="EC21" s="35">
        <f t="shared" si="79"/>
        <v>427.28392499999995</v>
      </c>
      <c r="ED21" s="5"/>
      <c r="EE21" s="35">
        <f t="shared" si="134"/>
        <v>796289.4625</v>
      </c>
      <c r="EF21" s="35">
        <f t="shared" si="80"/>
        <v>40769.4328125</v>
      </c>
      <c r="EG21" s="5">
        <f t="shared" si="81"/>
        <v>837058.8953125001</v>
      </c>
      <c r="EH21" s="35">
        <f t="shared" si="82"/>
        <v>61433.4675815</v>
      </c>
      <c r="EI21" s="35">
        <f t="shared" si="83"/>
        <v>638.3244385</v>
      </c>
      <c r="EJ21" s="5"/>
      <c r="EK21" s="35">
        <f t="shared" si="135"/>
        <v>6636.79</v>
      </c>
      <c r="EL21" s="35">
        <f t="shared" si="84"/>
        <v>339.79875</v>
      </c>
      <c r="EM21" s="5">
        <f t="shared" si="85"/>
        <v>6976.58875</v>
      </c>
      <c r="EN21" s="35">
        <f t="shared" si="86"/>
        <v>512.0261444</v>
      </c>
      <c r="EO21" s="35">
        <f t="shared" si="87"/>
        <v>5.3202076</v>
      </c>
      <c r="EP21" s="5"/>
      <c r="EQ21" s="35">
        <f t="shared" si="136"/>
        <v>254484.5825</v>
      </c>
      <c r="ER21" s="35">
        <f t="shared" si="88"/>
        <v>13029.422812499999</v>
      </c>
      <c r="ES21" s="5">
        <f t="shared" si="89"/>
        <v>267514.0053125</v>
      </c>
      <c r="ET21" s="35">
        <f t="shared" si="90"/>
        <v>19633.4010247</v>
      </c>
      <c r="EU21" s="35">
        <f t="shared" si="91"/>
        <v>204.0008513</v>
      </c>
      <c r="EV21" s="5"/>
      <c r="EW21" s="35">
        <f t="shared" si="137"/>
        <v>424603.4775</v>
      </c>
      <c r="EX21" s="35">
        <f t="shared" si="92"/>
        <v>21739.384687499998</v>
      </c>
      <c r="EY21" s="5">
        <f t="shared" si="93"/>
        <v>446342.8621875</v>
      </c>
      <c r="EZ21" s="35">
        <f t="shared" si="94"/>
        <v>32758.0172769</v>
      </c>
      <c r="FA21" s="35">
        <f t="shared" si="95"/>
        <v>340.3721751</v>
      </c>
      <c r="FB21" s="5"/>
      <c r="FC21" s="35">
        <f t="shared" si="138"/>
        <v>363520.0775</v>
      </c>
      <c r="FD21" s="35">
        <f t="shared" si="96"/>
        <v>18611.9596875</v>
      </c>
      <c r="FE21" s="5">
        <f t="shared" si="97"/>
        <v>382132.03718750004</v>
      </c>
      <c r="FF21" s="35">
        <f t="shared" si="98"/>
        <v>28045.4532529</v>
      </c>
      <c r="FG21" s="35">
        <f t="shared" si="99"/>
        <v>291.4062791</v>
      </c>
      <c r="FH21" s="5"/>
      <c r="FI21" s="35">
        <f t="shared" si="139"/>
        <v>360463.1975</v>
      </c>
      <c r="FJ21" s="35">
        <f t="shared" si="100"/>
        <v>18455.4496875</v>
      </c>
      <c r="FK21" s="5">
        <f t="shared" si="101"/>
        <v>378918.6471875</v>
      </c>
      <c r="FL21" s="35">
        <f t="shared" si="102"/>
        <v>27809.615976099998</v>
      </c>
      <c r="FM21" s="35">
        <f t="shared" si="103"/>
        <v>288.9558119</v>
      </c>
      <c r="FN21" s="5"/>
      <c r="FO21" s="35">
        <f t="shared" si="140"/>
        <v>522654.665</v>
      </c>
      <c r="FP21" s="35">
        <f t="shared" si="104"/>
        <v>26759.533124999998</v>
      </c>
      <c r="FQ21" s="35">
        <f t="shared" si="105"/>
        <v>549414.198125</v>
      </c>
      <c r="FR21" s="35">
        <f t="shared" si="106"/>
        <v>40322.633829399994</v>
      </c>
      <c r="FS21" s="35">
        <f t="shared" si="107"/>
        <v>418.9723226</v>
      </c>
      <c r="FT21" s="5"/>
      <c r="FU21" s="35">
        <f t="shared" si="141"/>
        <v>662027.255</v>
      </c>
      <c r="FV21" s="35">
        <f t="shared" si="108"/>
        <v>33895.306875</v>
      </c>
      <c r="FW21" s="35">
        <f t="shared" si="109"/>
        <v>695922.561875</v>
      </c>
      <c r="FX21" s="35">
        <f t="shared" si="110"/>
        <v>51075.1828618</v>
      </c>
      <c r="FY21" s="35">
        <f t="shared" si="111"/>
        <v>530.6966822</v>
      </c>
      <c r="FZ21" s="5"/>
      <c r="GA21" s="35">
        <f t="shared" si="142"/>
        <v>3054.8475</v>
      </c>
      <c r="GB21" s="35">
        <f t="shared" si="112"/>
        <v>156.4059375</v>
      </c>
      <c r="GC21" s="5">
        <f t="shared" si="113"/>
        <v>3211.2534375</v>
      </c>
      <c r="GD21" s="35">
        <f t="shared" si="114"/>
        <v>235.6804701</v>
      </c>
      <c r="GE21" s="35">
        <f t="shared" si="115"/>
        <v>2.4488379</v>
      </c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</row>
    <row r="22" spans="1:230" ht="12.75">
      <c r="A22" s="36">
        <v>47392</v>
      </c>
      <c r="D22" s="3">
        <v>177500</v>
      </c>
      <c r="E22" s="34">
        <f t="shared" si="0"/>
        <v>177500</v>
      </c>
      <c r="F22" s="34">
        <v>522689</v>
      </c>
      <c r="G22" s="34">
        <v>5431</v>
      </c>
      <c r="I22" s="35">
        <f>'2019C Academic'!I22</f>
        <v>0</v>
      </c>
      <c r="J22" s="35">
        <f>'2019C Academic'!J22</f>
        <v>39623.502499999995</v>
      </c>
      <c r="K22" s="35">
        <f t="shared" si="1"/>
        <v>39623.502499999995</v>
      </c>
      <c r="L22" s="35">
        <f>'2019C Academic'!L22</f>
        <v>116680.38815900001</v>
      </c>
      <c r="M22" s="35">
        <f>'2019C Academic'!M22</f>
        <v>1212.3675610000003</v>
      </c>
      <c r="O22" s="35"/>
      <c r="P22" s="34">
        <f t="shared" si="2"/>
        <v>137876.49749999997</v>
      </c>
      <c r="Q22" s="5">
        <f t="shared" si="3"/>
        <v>137876.49749999997</v>
      </c>
      <c r="R22" s="34">
        <f t="shared" si="4"/>
        <v>406008.61184100003</v>
      </c>
      <c r="S22" s="34">
        <f t="shared" si="4"/>
        <v>4218.1333301</v>
      </c>
      <c r="U22" s="35"/>
      <c r="V22" s="35">
        <f t="shared" si="5"/>
        <v>38.553</v>
      </c>
      <c r="W22" s="5">
        <f t="shared" si="6"/>
        <v>38.553</v>
      </c>
      <c r="X22" s="35">
        <f t="shared" si="7"/>
        <v>113.5280508</v>
      </c>
      <c r="Y22" s="35">
        <f t="shared" si="8"/>
        <v>1.1796132</v>
      </c>
      <c r="AA22" s="35"/>
      <c r="AB22" s="35">
        <f t="shared" si="9"/>
        <v>4102.82375</v>
      </c>
      <c r="AC22" s="5">
        <f t="shared" si="10"/>
        <v>4102.82375</v>
      </c>
      <c r="AD22" s="35">
        <f t="shared" si="11"/>
        <v>12081.694890499999</v>
      </c>
      <c r="AE22" s="35">
        <f t="shared" si="12"/>
        <v>125.53484949999999</v>
      </c>
      <c r="AG22" s="35"/>
      <c r="AH22" s="35">
        <f t="shared" si="13"/>
        <v>251.74824999999998</v>
      </c>
      <c r="AI22" s="35">
        <f t="shared" si="14"/>
        <v>251.74824999999998</v>
      </c>
      <c r="AJ22" s="35">
        <f t="shared" si="15"/>
        <v>741.3298087</v>
      </c>
      <c r="AK22" s="35">
        <f t="shared" si="16"/>
        <v>7.7027873</v>
      </c>
      <c r="AM22" s="35"/>
      <c r="AN22" s="35">
        <f t="shared" si="17"/>
        <v>1820.77725</v>
      </c>
      <c r="AO22" s="5">
        <f t="shared" si="18"/>
        <v>1820.77725</v>
      </c>
      <c r="AP22" s="35">
        <f t="shared" si="19"/>
        <v>5361.6914931</v>
      </c>
      <c r="AQ22" s="35">
        <f t="shared" si="20"/>
        <v>55.7106549</v>
      </c>
      <c r="AS22" s="35"/>
      <c r="AT22" s="35">
        <f t="shared" si="21"/>
        <v>1440.164</v>
      </c>
      <c r="AU22" s="5">
        <f t="shared" si="22"/>
        <v>1440.164</v>
      </c>
      <c r="AV22" s="35">
        <f t="shared" si="23"/>
        <v>4240.8894704</v>
      </c>
      <c r="AW22" s="35">
        <f t="shared" si="24"/>
        <v>44.064961600000004</v>
      </c>
      <c r="AY22" s="35"/>
      <c r="AZ22" s="35">
        <f t="shared" si="25"/>
        <v>384.181</v>
      </c>
      <c r="BA22" s="5">
        <f t="shared" si="26"/>
        <v>384.181</v>
      </c>
      <c r="BB22" s="35">
        <f t="shared" si="27"/>
        <v>1131.3080716</v>
      </c>
      <c r="BC22" s="35">
        <f t="shared" si="28"/>
        <v>11.7548564</v>
      </c>
      <c r="BE22" s="35"/>
      <c r="BF22" s="35">
        <f t="shared" si="29"/>
        <v>4343.993</v>
      </c>
      <c r="BG22" s="5">
        <f t="shared" si="30"/>
        <v>4343.993</v>
      </c>
      <c r="BH22" s="35">
        <f t="shared" si="31"/>
        <v>12791.8724348</v>
      </c>
      <c r="BI22" s="35">
        <f t="shared" si="32"/>
        <v>132.9139492</v>
      </c>
      <c r="BJ22" s="5"/>
      <c r="BK22" s="35"/>
      <c r="BL22" s="35">
        <f t="shared" si="33"/>
        <v>76.37825</v>
      </c>
      <c r="BM22" s="5">
        <f t="shared" si="34"/>
        <v>76.37825</v>
      </c>
      <c r="BN22" s="35">
        <f t="shared" si="35"/>
        <v>224.9130767</v>
      </c>
      <c r="BO22" s="35">
        <f t="shared" si="36"/>
        <v>2.3369593</v>
      </c>
      <c r="BP22" s="5"/>
      <c r="BQ22" s="35"/>
      <c r="BR22" s="35">
        <f t="shared" si="37"/>
        <v>16.31225</v>
      </c>
      <c r="BS22" s="5">
        <f t="shared" si="38"/>
        <v>16.31225</v>
      </c>
      <c r="BT22" s="35">
        <f t="shared" si="39"/>
        <v>48.035119099999996</v>
      </c>
      <c r="BU22" s="35"/>
      <c r="BV22" s="5"/>
      <c r="BW22" s="35"/>
      <c r="BX22" s="35">
        <f t="shared" si="40"/>
        <v>15601.185</v>
      </c>
      <c r="BY22" s="5">
        <f t="shared" si="41"/>
        <v>15601.185</v>
      </c>
      <c r="BZ22" s="35">
        <f t="shared" si="42"/>
        <v>45941.226966</v>
      </c>
      <c r="CA22" s="35">
        <f t="shared" si="43"/>
        <v>477.352314</v>
      </c>
      <c r="CB22" s="5"/>
      <c r="CC22" s="35"/>
      <c r="CD22" s="35">
        <f t="shared" si="44"/>
        <v>30.08625</v>
      </c>
      <c r="CE22" s="5">
        <f t="shared" si="45"/>
        <v>30.08625</v>
      </c>
      <c r="CF22" s="35">
        <f t="shared" si="46"/>
        <v>88.5957855</v>
      </c>
      <c r="CG22" s="35">
        <f t="shared" si="47"/>
        <v>0.9205545</v>
      </c>
      <c r="CH22" s="5"/>
      <c r="CI22" s="35"/>
      <c r="CJ22" s="35">
        <f t="shared" si="48"/>
        <v>17.87425</v>
      </c>
      <c r="CK22" s="5">
        <f t="shared" si="49"/>
        <v>17.87425</v>
      </c>
      <c r="CL22" s="35">
        <f t="shared" si="50"/>
        <v>52.6347823</v>
      </c>
      <c r="CM22" s="35">
        <f t="shared" si="51"/>
        <v>0.5469016999999999</v>
      </c>
      <c r="CN22" s="5"/>
      <c r="CO22" s="35"/>
      <c r="CP22" s="35">
        <f t="shared" si="52"/>
        <v>1115.268</v>
      </c>
      <c r="CQ22" s="5">
        <f t="shared" si="53"/>
        <v>1115.268</v>
      </c>
      <c r="CR22" s="35">
        <f t="shared" si="54"/>
        <v>3284.1595248</v>
      </c>
      <c r="CS22" s="35">
        <f t="shared" si="55"/>
        <v>34.1240592</v>
      </c>
      <c r="CT22" s="5"/>
      <c r="CU22" s="35"/>
      <c r="CV22" s="35">
        <f t="shared" si="56"/>
        <v>117.80675000000001</v>
      </c>
      <c r="CW22" s="5">
        <f t="shared" si="57"/>
        <v>117.80675000000001</v>
      </c>
      <c r="CX22" s="35">
        <f t="shared" si="58"/>
        <v>346.9086893</v>
      </c>
      <c r="CY22" s="35">
        <f t="shared" si="59"/>
        <v>3.6045547</v>
      </c>
      <c r="CZ22" s="5"/>
      <c r="DA22" s="35"/>
      <c r="DB22" s="35">
        <f t="shared" si="60"/>
        <v>321.82525</v>
      </c>
      <c r="DC22" s="5">
        <f t="shared" si="61"/>
        <v>321.82525</v>
      </c>
      <c r="DD22" s="35">
        <f t="shared" si="62"/>
        <v>947.6874259</v>
      </c>
      <c r="DE22" s="35">
        <f t="shared" si="63"/>
        <v>9.8469461</v>
      </c>
      <c r="DF22" s="5"/>
      <c r="DG22" s="35"/>
      <c r="DH22" s="35">
        <f t="shared" si="64"/>
        <v>3147.98025</v>
      </c>
      <c r="DI22" s="35">
        <f t="shared" si="65"/>
        <v>3147.98025</v>
      </c>
      <c r="DJ22" s="35">
        <f t="shared" si="66"/>
        <v>9269.9416839</v>
      </c>
      <c r="DK22" s="35">
        <f t="shared" si="67"/>
        <v>96.3193281</v>
      </c>
      <c r="DL22" s="5"/>
      <c r="DM22" s="35"/>
      <c r="DN22" s="35">
        <f t="shared" si="68"/>
        <v>434.733</v>
      </c>
      <c r="DO22" s="35">
        <f t="shared" si="69"/>
        <v>434.733</v>
      </c>
      <c r="DP22" s="35">
        <f t="shared" si="70"/>
        <v>1280.1698988</v>
      </c>
      <c r="DQ22" s="35">
        <f t="shared" si="71"/>
        <v>13.3016052</v>
      </c>
      <c r="DR22" s="5"/>
      <c r="DS22" s="35"/>
      <c r="DT22" s="35">
        <f t="shared" si="72"/>
        <v>1736.6599999999999</v>
      </c>
      <c r="DU22" s="5">
        <f t="shared" si="73"/>
        <v>1736.6599999999999</v>
      </c>
      <c r="DV22" s="35">
        <f t="shared" si="74"/>
        <v>5113.989176</v>
      </c>
      <c r="DW22" s="35">
        <f t="shared" si="75"/>
        <v>53.136903999999994</v>
      </c>
      <c r="DX22" s="5"/>
      <c r="DY22" s="35"/>
      <c r="DZ22" s="35">
        <f t="shared" si="76"/>
        <v>13964.8125</v>
      </c>
      <c r="EA22" s="35">
        <f t="shared" si="77"/>
        <v>13964.8125</v>
      </c>
      <c r="EB22" s="35">
        <f t="shared" si="78"/>
        <v>41122.557075</v>
      </c>
      <c r="EC22" s="35">
        <f t="shared" si="79"/>
        <v>427.28392499999995</v>
      </c>
      <c r="ED22" s="5"/>
      <c r="EE22" s="35"/>
      <c r="EF22" s="35">
        <f t="shared" si="80"/>
        <v>20862.19625</v>
      </c>
      <c r="EG22" s="5">
        <f t="shared" si="81"/>
        <v>20862.19625</v>
      </c>
      <c r="EH22" s="35">
        <f t="shared" si="82"/>
        <v>61433.4675815</v>
      </c>
      <c r="EI22" s="35">
        <f t="shared" si="83"/>
        <v>638.3244385</v>
      </c>
      <c r="EJ22" s="5"/>
      <c r="EK22" s="35"/>
      <c r="EL22" s="35">
        <f t="shared" si="84"/>
        <v>173.879</v>
      </c>
      <c r="EM22" s="5">
        <f t="shared" si="85"/>
        <v>173.879</v>
      </c>
      <c r="EN22" s="35">
        <f t="shared" si="86"/>
        <v>512.0261444</v>
      </c>
      <c r="EO22" s="35">
        <f t="shared" si="87"/>
        <v>5.3202076</v>
      </c>
      <c r="EP22" s="5"/>
      <c r="EQ22" s="35"/>
      <c r="ER22" s="35">
        <f t="shared" si="88"/>
        <v>6667.30825</v>
      </c>
      <c r="ES22" s="5">
        <f t="shared" si="89"/>
        <v>6667.30825</v>
      </c>
      <c r="ET22" s="35">
        <f t="shared" si="90"/>
        <v>19633.4010247</v>
      </c>
      <c r="EU22" s="35">
        <f t="shared" si="91"/>
        <v>204.0008513</v>
      </c>
      <c r="EV22" s="5"/>
      <c r="EW22" s="35"/>
      <c r="EX22" s="35">
        <f t="shared" si="92"/>
        <v>11124.29775</v>
      </c>
      <c r="EY22" s="5">
        <f t="shared" si="93"/>
        <v>11124.29775</v>
      </c>
      <c r="EZ22" s="35">
        <f t="shared" si="94"/>
        <v>32758.0172769</v>
      </c>
      <c r="FA22" s="35">
        <f t="shared" si="95"/>
        <v>340.3721751</v>
      </c>
      <c r="FB22" s="5"/>
      <c r="FC22" s="35"/>
      <c r="FD22" s="35">
        <f t="shared" si="96"/>
        <v>9523.95775</v>
      </c>
      <c r="FE22" s="5">
        <f t="shared" si="97"/>
        <v>9523.95775</v>
      </c>
      <c r="FF22" s="35">
        <f t="shared" si="98"/>
        <v>28045.4532529</v>
      </c>
      <c r="FG22" s="35">
        <f t="shared" si="99"/>
        <v>291.4062791</v>
      </c>
      <c r="FH22" s="5"/>
      <c r="FI22" s="35"/>
      <c r="FJ22" s="35">
        <f t="shared" si="100"/>
        <v>9443.86975</v>
      </c>
      <c r="FK22" s="5">
        <f t="shared" si="101"/>
        <v>9443.86975</v>
      </c>
      <c r="FL22" s="35">
        <f t="shared" si="102"/>
        <v>27809.615976099998</v>
      </c>
      <c r="FM22" s="35">
        <f t="shared" si="103"/>
        <v>288.9558119</v>
      </c>
      <c r="FN22" s="5"/>
      <c r="FO22" s="35"/>
      <c r="FP22" s="35">
        <f t="shared" si="104"/>
        <v>13693.1665</v>
      </c>
      <c r="FQ22" s="35">
        <f t="shared" si="105"/>
        <v>13693.1665</v>
      </c>
      <c r="FR22" s="35">
        <f t="shared" si="106"/>
        <v>40322.633829399994</v>
      </c>
      <c r="FS22" s="35">
        <f t="shared" si="107"/>
        <v>418.9723226</v>
      </c>
      <c r="FT22" s="5"/>
      <c r="FU22" s="35"/>
      <c r="FV22" s="35">
        <f t="shared" si="108"/>
        <v>17344.625500000002</v>
      </c>
      <c r="FW22" s="35">
        <f t="shared" si="109"/>
        <v>17344.625500000002</v>
      </c>
      <c r="FX22" s="35">
        <f t="shared" si="110"/>
        <v>51075.1828618</v>
      </c>
      <c r="FY22" s="35">
        <f t="shared" si="111"/>
        <v>530.6966822</v>
      </c>
      <c r="FZ22" s="5"/>
      <c r="GA22" s="35"/>
      <c r="GB22" s="35">
        <f t="shared" si="112"/>
        <v>80.03475</v>
      </c>
      <c r="GC22" s="5">
        <f t="shared" si="113"/>
        <v>80.03475</v>
      </c>
      <c r="GD22" s="35">
        <f t="shared" si="114"/>
        <v>235.6804701</v>
      </c>
      <c r="GE22" s="35">
        <f t="shared" si="115"/>
        <v>2.4488379</v>
      </c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</row>
    <row r="23" spans="1:230" ht="12.75">
      <c r="A23" s="36">
        <v>11049</v>
      </c>
      <c r="C23" s="3">
        <v>7100000</v>
      </c>
      <c r="D23" s="3">
        <v>177500</v>
      </c>
      <c r="E23" s="34">
        <f t="shared" si="0"/>
        <v>7277500</v>
      </c>
      <c r="F23" s="34">
        <v>522689</v>
      </c>
      <c r="G23" s="34">
        <v>5431</v>
      </c>
      <c r="I23" s="35">
        <f>'2019C Academic'!I23</f>
        <v>1584940.1</v>
      </c>
      <c r="J23" s="35">
        <f>'2019C Academic'!J23</f>
        <v>39623.502499999995</v>
      </c>
      <c r="K23" s="35">
        <f t="shared" si="1"/>
        <v>1624563.6025</v>
      </c>
      <c r="L23" s="35">
        <f>'2019C Academic'!L23</f>
        <v>116680.38815900001</v>
      </c>
      <c r="M23" s="35">
        <f>'2019C Academic'!M23</f>
        <v>1212.3675610000003</v>
      </c>
      <c r="O23" s="35">
        <f>U23+AA23+AG23+AM23+AS23+AY23+BE23+BK23+BQ23+BW23+CC23+CI23+CO23+CU23+DG23+DM23+DS23+DY23+EE23+EK23+EQ23+EW23+FC23+FI23+DA23+FO23+FU23+GA23+GG23</f>
        <v>5515059.899999999</v>
      </c>
      <c r="P23" s="34">
        <f t="shared" si="2"/>
        <v>137876.49749999997</v>
      </c>
      <c r="Q23" s="5">
        <f t="shared" si="3"/>
        <v>5652936.397499999</v>
      </c>
      <c r="R23" s="34">
        <f t="shared" si="4"/>
        <v>406008.61184100003</v>
      </c>
      <c r="S23" s="34">
        <f t="shared" si="4"/>
        <v>4218.1333301</v>
      </c>
      <c r="U23" s="35">
        <f t="shared" si="116"/>
        <v>1542.12</v>
      </c>
      <c r="V23" s="35">
        <f t="shared" si="5"/>
        <v>38.553</v>
      </c>
      <c r="W23" s="5">
        <f t="shared" si="6"/>
        <v>1580.6729999999998</v>
      </c>
      <c r="X23" s="35">
        <f t="shared" si="7"/>
        <v>113.5280508</v>
      </c>
      <c r="Y23" s="35">
        <f t="shared" si="8"/>
        <v>1.1796132</v>
      </c>
      <c r="AA23" s="35">
        <f t="shared" si="117"/>
        <v>164112.95</v>
      </c>
      <c r="AB23" s="35">
        <f t="shared" si="9"/>
        <v>4102.82375</v>
      </c>
      <c r="AC23" s="5">
        <f t="shared" si="10"/>
        <v>168215.77375000002</v>
      </c>
      <c r="AD23" s="35">
        <f t="shared" si="11"/>
        <v>12081.694890499999</v>
      </c>
      <c r="AE23" s="35">
        <f t="shared" si="12"/>
        <v>125.53484949999999</v>
      </c>
      <c r="AG23" s="35">
        <f t="shared" si="118"/>
        <v>10069.93</v>
      </c>
      <c r="AH23" s="35">
        <f t="shared" si="13"/>
        <v>251.74824999999998</v>
      </c>
      <c r="AI23" s="35">
        <f t="shared" si="14"/>
        <v>10321.67825</v>
      </c>
      <c r="AJ23" s="35">
        <f t="shared" si="15"/>
        <v>741.3298087</v>
      </c>
      <c r="AK23" s="35">
        <f t="shared" si="16"/>
        <v>7.7027873</v>
      </c>
      <c r="AM23" s="35">
        <f t="shared" si="119"/>
        <v>72831.09</v>
      </c>
      <c r="AN23" s="35">
        <f t="shared" si="17"/>
        <v>1820.77725</v>
      </c>
      <c r="AO23" s="5">
        <f t="shared" si="18"/>
        <v>74651.86725</v>
      </c>
      <c r="AP23" s="35">
        <f t="shared" si="19"/>
        <v>5361.6914931</v>
      </c>
      <c r="AQ23" s="35">
        <f t="shared" si="20"/>
        <v>55.7106549</v>
      </c>
      <c r="AS23" s="35">
        <f t="shared" si="120"/>
        <v>57606.560000000005</v>
      </c>
      <c r="AT23" s="35">
        <f t="shared" si="21"/>
        <v>1440.164</v>
      </c>
      <c r="AU23" s="5">
        <f t="shared" si="22"/>
        <v>59046.724</v>
      </c>
      <c r="AV23" s="35">
        <f t="shared" si="23"/>
        <v>4240.8894704</v>
      </c>
      <c r="AW23" s="35">
        <f t="shared" si="24"/>
        <v>44.064961600000004</v>
      </c>
      <c r="AY23" s="35">
        <f t="shared" si="121"/>
        <v>15367.24</v>
      </c>
      <c r="AZ23" s="35">
        <f t="shared" si="25"/>
        <v>384.181</v>
      </c>
      <c r="BA23" s="5">
        <f t="shared" si="26"/>
        <v>15751.421</v>
      </c>
      <c r="BB23" s="35">
        <f t="shared" si="27"/>
        <v>1131.3080716</v>
      </c>
      <c r="BC23" s="35">
        <f t="shared" si="28"/>
        <v>11.7548564</v>
      </c>
      <c r="BE23" s="35">
        <f t="shared" si="122"/>
        <v>173759.72</v>
      </c>
      <c r="BF23" s="35">
        <f t="shared" si="29"/>
        <v>4343.993</v>
      </c>
      <c r="BG23" s="5">
        <f t="shared" si="30"/>
        <v>178103.713</v>
      </c>
      <c r="BH23" s="35">
        <f t="shared" si="31"/>
        <v>12791.8724348</v>
      </c>
      <c r="BI23" s="35">
        <f t="shared" si="32"/>
        <v>132.9139492</v>
      </c>
      <c r="BJ23" s="5"/>
      <c r="BK23" s="35">
        <f t="shared" si="123"/>
        <v>3055.13</v>
      </c>
      <c r="BL23" s="35">
        <f t="shared" si="33"/>
        <v>76.37825</v>
      </c>
      <c r="BM23" s="5">
        <f t="shared" si="34"/>
        <v>3131.5082500000003</v>
      </c>
      <c r="BN23" s="35">
        <f t="shared" si="35"/>
        <v>224.9130767</v>
      </c>
      <c r="BO23" s="35">
        <f t="shared" si="36"/>
        <v>2.3369593</v>
      </c>
      <c r="BP23" s="5"/>
      <c r="BQ23" s="35">
        <f t="shared" si="124"/>
        <v>652.49</v>
      </c>
      <c r="BR23" s="35">
        <f t="shared" si="37"/>
        <v>16.31225</v>
      </c>
      <c r="BS23" s="5">
        <f t="shared" si="38"/>
        <v>668.80225</v>
      </c>
      <c r="BT23" s="35">
        <f t="shared" si="39"/>
        <v>48.035119099999996</v>
      </c>
      <c r="BU23" s="35"/>
      <c r="BV23" s="5"/>
      <c r="BW23" s="35">
        <f t="shared" si="125"/>
        <v>624047.4</v>
      </c>
      <c r="BX23" s="35">
        <f t="shared" si="40"/>
        <v>15601.185</v>
      </c>
      <c r="BY23" s="5">
        <f t="shared" si="41"/>
        <v>639648.5850000001</v>
      </c>
      <c r="BZ23" s="35">
        <f t="shared" si="42"/>
        <v>45941.226966</v>
      </c>
      <c r="CA23" s="35">
        <f t="shared" si="43"/>
        <v>477.352314</v>
      </c>
      <c r="CB23" s="5"/>
      <c r="CC23" s="35">
        <f t="shared" si="126"/>
        <v>1203.45</v>
      </c>
      <c r="CD23" s="35">
        <f t="shared" si="44"/>
        <v>30.08625</v>
      </c>
      <c r="CE23" s="5">
        <f t="shared" si="45"/>
        <v>1233.53625</v>
      </c>
      <c r="CF23" s="35">
        <f t="shared" si="46"/>
        <v>88.5957855</v>
      </c>
      <c r="CG23" s="35">
        <f t="shared" si="47"/>
        <v>0.9205545</v>
      </c>
      <c r="CH23" s="5"/>
      <c r="CI23" s="35">
        <f t="shared" si="127"/>
        <v>714.9699999999999</v>
      </c>
      <c r="CJ23" s="35">
        <f t="shared" si="48"/>
        <v>17.87425</v>
      </c>
      <c r="CK23" s="5">
        <f t="shared" si="49"/>
        <v>732.8442499999999</v>
      </c>
      <c r="CL23" s="35">
        <f t="shared" si="50"/>
        <v>52.6347823</v>
      </c>
      <c r="CM23" s="35">
        <f t="shared" si="51"/>
        <v>0.5469016999999999</v>
      </c>
      <c r="CN23" s="5"/>
      <c r="CO23" s="35">
        <f t="shared" si="128"/>
        <v>44610.72</v>
      </c>
      <c r="CP23" s="35">
        <f t="shared" si="52"/>
        <v>1115.268</v>
      </c>
      <c r="CQ23" s="5">
        <f t="shared" si="53"/>
        <v>45725.988</v>
      </c>
      <c r="CR23" s="35">
        <f t="shared" si="54"/>
        <v>3284.1595248</v>
      </c>
      <c r="CS23" s="35">
        <f t="shared" si="55"/>
        <v>34.1240592</v>
      </c>
      <c r="CT23" s="5"/>
      <c r="CU23" s="35">
        <f t="shared" si="129"/>
        <v>4712.27</v>
      </c>
      <c r="CV23" s="35">
        <f t="shared" si="56"/>
        <v>117.80675000000001</v>
      </c>
      <c r="CW23" s="5">
        <f t="shared" si="57"/>
        <v>4830.07675</v>
      </c>
      <c r="CX23" s="35">
        <f t="shared" si="58"/>
        <v>346.9086893</v>
      </c>
      <c r="CY23" s="35">
        <f t="shared" si="59"/>
        <v>3.6045547</v>
      </c>
      <c r="CZ23" s="5"/>
      <c r="DA23" s="35">
        <f>$C23*DB$6</f>
        <v>12873.01</v>
      </c>
      <c r="DB23" s="35">
        <f t="shared" si="60"/>
        <v>321.82525</v>
      </c>
      <c r="DC23" s="5">
        <f t="shared" si="61"/>
        <v>13194.83525</v>
      </c>
      <c r="DD23" s="35">
        <f t="shared" si="62"/>
        <v>947.6874259</v>
      </c>
      <c r="DE23" s="35">
        <f t="shared" si="63"/>
        <v>9.8469461</v>
      </c>
      <c r="DF23" s="5"/>
      <c r="DG23" s="35">
        <f t="shared" si="130"/>
        <v>125919.21</v>
      </c>
      <c r="DH23" s="35">
        <f t="shared" si="64"/>
        <v>3147.98025</v>
      </c>
      <c r="DI23" s="35">
        <f t="shared" si="65"/>
        <v>129067.19025</v>
      </c>
      <c r="DJ23" s="35">
        <f t="shared" si="66"/>
        <v>9269.9416839</v>
      </c>
      <c r="DK23" s="35">
        <f t="shared" si="67"/>
        <v>96.3193281</v>
      </c>
      <c r="DL23" s="5"/>
      <c r="DM23" s="35">
        <f t="shared" si="131"/>
        <v>17389.32</v>
      </c>
      <c r="DN23" s="35">
        <f t="shared" si="68"/>
        <v>434.733</v>
      </c>
      <c r="DO23" s="35">
        <f t="shared" si="69"/>
        <v>17824.053</v>
      </c>
      <c r="DP23" s="35">
        <f t="shared" si="70"/>
        <v>1280.1698988</v>
      </c>
      <c r="DQ23" s="35">
        <f t="shared" si="71"/>
        <v>13.3016052</v>
      </c>
      <c r="DR23" s="5"/>
      <c r="DS23" s="35">
        <f t="shared" si="132"/>
        <v>69466.4</v>
      </c>
      <c r="DT23" s="35">
        <f t="shared" si="72"/>
        <v>1736.6599999999999</v>
      </c>
      <c r="DU23" s="5">
        <f t="shared" si="73"/>
        <v>71203.06</v>
      </c>
      <c r="DV23" s="35">
        <f t="shared" si="74"/>
        <v>5113.989176</v>
      </c>
      <c r="DW23" s="35">
        <f t="shared" si="75"/>
        <v>53.136903999999994</v>
      </c>
      <c r="DX23" s="5"/>
      <c r="DY23" s="35">
        <f t="shared" si="133"/>
        <v>558592.5</v>
      </c>
      <c r="DZ23" s="35">
        <f t="shared" si="76"/>
        <v>13964.8125</v>
      </c>
      <c r="EA23" s="35">
        <f t="shared" si="77"/>
        <v>572557.3125</v>
      </c>
      <c r="EB23" s="35">
        <f t="shared" si="78"/>
        <v>41122.557075</v>
      </c>
      <c r="EC23" s="35">
        <f t="shared" si="79"/>
        <v>427.28392499999995</v>
      </c>
      <c r="ED23" s="5"/>
      <c r="EE23" s="35">
        <f t="shared" si="134"/>
        <v>834487.85</v>
      </c>
      <c r="EF23" s="35">
        <f t="shared" si="80"/>
        <v>20862.19625</v>
      </c>
      <c r="EG23" s="5">
        <f t="shared" si="81"/>
        <v>855350.04625</v>
      </c>
      <c r="EH23" s="35">
        <f t="shared" si="82"/>
        <v>61433.4675815</v>
      </c>
      <c r="EI23" s="35">
        <f t="shared" si="83"/>
        <v>638.3244385</v>
      </c>
      <c r="EJ23" s="5"/>
      <c r="EK23" s="35">
        <f t="shared" si="135"/>
        <v>6955.16</v>
      </c>
      <c r="EL23" s="35">
        <f t="shared" si="84"/>
        <v>173.879</v>
      </c>
      <c r="EM23" s="5">
        <f t="shared" si="85"/>
        <v>7129.039</v>
      </c>
      <c r="EN23" s="35">
        <f t="shared" si="86"/>
        <v>512.0261444</v>
      </c>
      <c r="EO23" s="35">
        <f t="shared" si="87"/>
        <v>5.3202076</v>
      </c>
      <c r="EP23" s="5"/>
      <c r="EQ23" s="35">
        <f t="shared" si="136"/>
        <v>266692.33</v>
      </c>
      <c r="ER23" s="35">
        <f t="shared" si="88"/>
        <v>6667.30825</v>
      </c>
      <c r="ES23" s="5">
        <f t="shared" si="89"/>
        <v>273359.63825</v>
      </c>
      <c r="ET23" s="35">
        <f t="shared" si="90"/>
        <v>19633.4010247</v>
      </c>
      <c r="EU23" s="35">
        <f t="shared" si="91"/>
        <v>204.0008513</v>
      </c>
      <c r="EV23" s="5"/>
      <c r="EW23" s="35">
        <f t="shared" si="137"/>
        <v>444971.91</v>
      </c>
      <c r="EX23" s="35">
        <f t="shared" si="92"/>
        <v>11124.29775</v>
      </c>
      <c r="EY23" s="5">
        <f t="shared" si="93"/>
        <v>456096.20775</v>
      </c>
      <c r="EZ23" s="35">
        <f t="shared" si="94"/>
        <v>32758.0172769</v>
      </c>
      <c r="FA23" s="35">
        <f t="shared" si="95"/>
        <v>340.3721751</v>
      </c>
      <c r="FB23" s="5"/>
      <c r="FC23" s="35">
        <f t="shared" si="138"/>
        <v>380958.31</v>
      </c>
      <c r="FD23" s="35">
        <f t="shared" si="96"/>
        <v>9523.95775</v>
      </c>
      <c r="FE23" s="5">
        <f t="shared" si="97"/>
        <v>390482.26775</v>
      </c>
      <c r="FF23" s="35">
        <f t="shared" si="98"/>
        <v>28045.4532529</v>
      </c>
      <c r="FG23" s="35">
        <f t="shared" si="99"/>
        <v>291.4062791</v>
      </c>
      <c r="FH23" s="5"/>
      <c r="FI23" s="35">
        <f t="shared" si="139"/>
        <v>377754.79</v>
      </c>
      <c r="FJ23" s="35">
        <f t="shared" si="100"/>
        <v>9443.86975</v>
      </c>
      <c r="FK23" s="5">
        <f t="shared" si="101"/>
        <v>387198.65975</v>
      </c>
      <c r="FL23" s="35">
        <f t="shared" si="102"/>
        <v>27809.615976099998</v>
      </c>
      <c r="FM23" s="35">
        <f t="shared" si="103"/>
        <v>288.9558119</v>
      </c>
      <c r="FN23" s="5"/>
      <c r="FO23" s="35">
        <f t="shared" si="140"/>
        <v>547726.6599999999</v>
      </c>
      <c r="FP23" s="35">
        <f t="shared" si="104"/>
        <v>13693.1665</v>
      </c>
      <c r="FQ23" s="35">
        <f t="shared" si="105"/>
        <v>561419.8265</v>
      </c>
      <c r="FR23" s="35">
        <f t="shared" si="106"/>
        <v>40322.633829399994</v>
      </c>
      <c r="FS23" s="35">
        <f t="shared" si="107"/>
        <v>418.9723226</v>
      </c>
      <c r="FT23" s="5"/>
      <c r="FU23" s="35">
        <f t="shared" si="141"/>
        <v>693785.02</v>
      </c>
      <c r="FV23" s="35">
        <f t="shared" si="108"/>
        <v>17344.625500000002</v>
      </c>
      <c r="FW23" s="35">
        <f t="shared" si="109"/>
        <v>711129.6455</v>
      </c>
      <c r="FX23" s="35">
        <f t="shared" si="110"/>
        <v>51075.1828618</v>
      </c>
      <c r="FY23" s="35">
        <f t="shared" si="111"/>
        <v>530.6966822</v>
      </c>
      <c r="FZ23" s="5"/>
      <c r="GA23" s="35">
        <f t="shared" si="142"/>
        <v>3201.39</v>
      </c>
      <c r="GB23" s="35">
        <f t="shared" si="112"/>
        <v>80.03475</v>
      </c>
      <c r="GC23" s="5">
        <f t="shared" si="113"/>
        <v>3281.4247499999997</v>
      </c>
      <c r="GD23" s="35">
        <f t="shared" si="114"/>
        <v>235.6804701</v>
      </c>
      <c r="GE23" s="35">
        <f t="shared" si="115"/>
        <v>2.4488379</v>
      </c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</row>
    <row r="24" spans="2:230" ht="12.75">
      <c r="B24" s="33"/>
      <c r="C24" s="34"/>
      <c r="D24" s="34"/>
      <c r="E24" s="34"/>
      <c r="F24" s="34"/>
      <c r="G24" s="34"/>
      <c r="U24" s="5"/>
      <c r="V24" s="5"/>
      <c r="W24" s="5"/>
      <c r="X24" s="5"/>
      <c r="Y24" s="5"/>
      <c r="AA24" s="5"/>
      <c r="AB24" s="5"/>
      <c r="AC24" s="5"/>
      <c r="AD24" s="5"/>
      <c r="AE24" s="5"/>
      <c r="AY24" s="5"/>
      <c r="AZ24" s="5"/>
      <c r="BA24" s="5"/>
      <c r="BB24" s="5"/>
      <c r="BC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35"/>
      <c r="FQ24" s="3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</row>
    <row r="25" spans="1:230" ht="13.5" thickBot="1">
      <c r="A25" s="37" t="s">
        <v>18</v>
      </c>
      <c r="C25" s="38">
        <f>SUM(C8:C24)</f>
        <v>48720000</v>
      </c>
      <c r="D25" s="38">
        <f>SUM(D8:D24)</f>
        <v>11189050</v>
      </c>
      <c r="E25" s="38">
        <f>SUM(E8:E24)</f>
        <v>59909050</v>
      </c>
      <c r="F25" s="38">
        <f>SUM(F8:F24)</f>
        <v>8363024</v>
      </c>
      <c r="G25" s="38">
        <f>SUM(G8:G24)</f>
        <v>86896</v>
      </c>
      <c r="I25" s="38">
        <f>SUM(I8:I24)</f>
        <v>10875814.319999998</v>
      </c>
      <c r="J25" s="38">
        <f>SUM(J8:J24)</f>
        <v>2497742.8205500003</v>
      </c>
      <c r="K25" s="38">
        <f>SUM(K8:K24)</f>
        <v>13373557.140550002</v>
      </c>
      <c r="L25" s="38">
        <f>SUM(L8:L24)</f>
        <v>1866886.2105440006</v>
      </c>
      <c r="M25" s="38">
        <f>SUM(M8:M24)</f>
        <v>19397.880976000004</v>
      </c>
      <c r="O25" s="38">
        <f>SUM(O8:O24)</f>
        <v>37844185.68</v>
      </c>
      <c r="P25" s="38">
        <f>SUM(P8:P24)</f>
        <v>8691307.179450002</v>
      </c>
      <c r="Q25" s="38">
        <f>SUM(Q8:Q24)</f>
        <v>46535492.859450005</v>
      </c>
      <c r="R25" s="38">
        <f>SUM(R8:R24)</f>
        <v>6496137.789456</v>
      </c>
      <c r="S25" s="38">
        <f>SUM(S8:S24)</f>
        <v>67490.13328159999</v>
      </c>
      <c r="U25" s="38">
        <f>SUM(U8:U24)</f>
        <v>10581.984</v>
      </c>
      <c r="V25" s="38">
        <f>SUM(V8:V24)</f>
        <v>2430.2616599999997</v>
      </c>
      <c r="W25" s="38">
        <f>SUM(W8:W24)</f>
        <v>13012.245659999997</v>
      </c>
      <c r="X25" s="38">
        <f>SUM(X8:X24)</f>
        <v>1816.4488128000003</v>
      </c>
      <c r="Y25" s="38">
        <f>SUM(Y8:Y24)</f>
        <v>18.8738112</v>
      </c>
      <c r="AA25" s="38">
        <f>SUM(AA8:AA24)</f>
        <v>1126138.44</v>
      </c>
      <c r="AB25" s="38">
        <f>SUM(AB8:AB24)</f>
        <v>258629.29622500003</v>
      </c>
      <c r="AC25" s="38">
        <f>SUM(AC8:AC24)</f>
        <v>1384767.736225</v>
      </c>
      <c r="AD25" s="38">
        <f>SUM(AD8:AD24)</f>
        <v>193307.11824799996</v>
      </c>
      <c r="AE25" s="38">
        <f>SUM(AE8:AE24)</f>
        <v>2008.5575920000003</v>
      </c>
      <c r="AG25" s="38">
        <f>SUM(AG8:AG24)</f>
        <v>69099.576</v>
      </c>
      <c r="AH25" s="38">
        <f>SUM(AH8:AH24)</f>
        <v>15869.429615000003</v>
      </c>
      <c r="AI25" s="38">
        <f>SUM(AI8:AI24)</f>
        <v>84969.00561499999</v>
      </c>
      <c r="AJ25" s="38">
        <f>SUM(AJ8:AJ24)</f>
        <v>11861.276939200003</v>
      </c>
      <c r="AK25" s="38">
        <f>SUM(AK8:AK24)</f>
        <v>123.24459679999997</v>
      </c>
      <c r="AM25" s="38">
        <f>SUM(AM8:AM24)</f>
        <v>499764.88800000004</v>
      </c>
      <c r="AN25" s="38">
        <f>SUM(AN8:AN24)</f>
        <v>114776.15599500001</v>
      </c>
      <c r="AO25" s="38">
        <f>SUM(AO8:AO24)</f>
        <v>614541.0439950001</v>
      </c>
      <c r="AP25" s="38">
        <f>SUM(AP8:AP24)</f>
        <v>85787.06388960002</v>
      </c>
      <c r="AQ25" s="38">
        <f>SUM(AQ8:AQ24)</f>
        <v>891.3704784</v>
      </c>
      <c r="AS25" s="38">
        <f>SUM(AS8:AS24)</f>
        <v>395294.592</v>
      </c>
      <c r="AT25" s="38">
        <f>SUM(AT8:AT24)</f>
        <v>90783.47608000001</v>
      </c>
      <c r="AU25" s="38">
        <f>SUM(AU8:AU24)</f>
        <v>486078.06808</v>
      </c>
      <c r="AV25" s="38">
        <f>SUM(AV8:AV24)</f>
        <v>67854.23152639999</v>
      </c>
      <c r="AW25" s="38">
        <f>SUM(AW8:AW24)</f>
        <v>705.0393856000003</v>
      </c>
      <c r="AY25" s="38">
        <f>SUM(AY8:AY24)</f>
        <v>105449.568</v>
      </c>
      <c r="AZ25" s="38">
        <f>SUM(AZ8:AZ24)</f>
        <v>24217.57982</v>
      </c>
      <c r="BA25" s="38">
        <f>SUM(BA8:BA24)</f>
        <v>129667.14782</v>
      </c>
      <c r="BB25" s="38">
        <f>SUM(BB8:BB24)</f>
        <v>18100.929145600003</v>
      </c>
      <c r="BC25" s="38">
        <f>SUM(BC8:BC24)</f>
        <v>188.07770239999994</v>
      </c>
      <c r="BE25" s="38">
        <f>SUM(BE8:BE24)</f>
        <v>1192334.304</v>
      </c>
      <c r="BF25" s="38">
        <f>SUM(BF8:BF24)</f>
        <v>273831.8584600001</v>
      </c>
      <c r="BG25" s="38">
        <f>SUM(BG8:BG24)</f>
        <v>1466166.1624600003</v>
      </c>
      <c r="BH25" s="38">
        <f>SUM(BH8:BH24)</f>
        <v>204669.95895679996</v>
      </c>
      <c r="BI25" s="38">
        <f>SUM(BI8:BI24)</f>
        <v>2126.6231871999994</v>
      </c>
      <c r="BJ25" s="5"/>
      <c r="BK25" s="38">
        <f>SUM(BK8:BK24)</f>
        <v>20964.216</v>
      </c>
      <c r="BL25" s="38">
        <f>SUM(BL8:BL24)</f>
        <v>4814.648214999999</v>
      </c>
      <c r="BM25" s="38">
        <f>SUM(BM8:BM24)</f>
        <v>25778.864214999998</v>
      </c>
      <c r="BN25" s="38">
        <f>SUM(BN8:BN24)</f>
        <v>3598.6092272000005</v>
      </c>
      <c r="BO25" s="38">
        <f>SUM(BO8:BO24)</f>
        <v>37.3913488</v>
      </c>
      <c r="BP25" s="5"/>
      <c r="BQ25" s="38">
        <f>SUM(BQ8:BQ24)</f>
        <v>4477.368</v>
      </c>
      <c r="BR25" s="38">
        <f>SUM(BR8:BR24)</f>
        <v>1028.273695</v>
      </c>
      <c r="BS25" s="38">
        <f>SUM(BS8:BS24)</f>
        <v>5505.641695</v>
      </c>
      <c r="BT25" s="38">
        <f>SUM(BT8:BT24)</f>
        <v>768.5619055999997</v>
      </c>
      <c r="BU25" s="38">
        <f>SUM(BU8:BU24)</f>
        <v>0</v>
      </c>
      <c r="BV25" s="34"/>
      <c r="BW25" s="38">
        <f>SUM(BW8:BW24)</f>
        <v>4282195.68</v>
      </c>
      <c r="BX25" s="38">
        <f>SUM(BX8:BX24)</f>
        <v>983450.3607000001</v>
      </c>
      <c r="BY25" s="38">
        <f>SUM(BY8:BY24)</f>
        <v>5265646.0407</v>
      </c>
      <c r="BZ25" s="38">
        <f>SUM(BZ8:BZ24)</f>
        <v>735059.6314560001</v>
      </c>
      <c r="CA25" s="38">
        <f>SUM(CA8:CA24)</f>
        <v>7637.637023999997</v>
      </c>
      <c r="CB25" s="5"/>
      <c r="CC25" s="38">
        <f>SUM(CC8:CC24)</f>
        <v>8258.04</v>
      </c>
      <c r="CD25" s="38">
        <f>SUM(CD8:CD24)</f>
        <v>1896.5439750000003</v>
      </c>
      <c r="CE25" s="38">
        <f>SUM(CE8:CE24)</f>
        <v>10154.583975000001</v>
      </c>
      <c r="CF25" s="38">
        <f>SUM(CF8:CF24)</f>
        <v>1417.5325679999999</v>
      </c>
      <c r="CG25" s="38">
        <f>SUM(CG8:CG24)</f>
        <v>14.728871999999997</v>
      </c>
      <c r="CH25" s="5"/>
      <c r="CI25" s="38">
        <f>SUM(CI8:CI24)</f>
        <v>4906.104</v>
      </c>
      <c r="CJ25" s="38">
        <f>SUM(CJ8:CJ24)</f>
        <v>1126.737335</v>
      </c>
      <c r="CK25" s="38">
        <f>SUM(CK8:CK24)</f>
        <v>6032.841334999999</v>
      </c>
      <c r="CL25" s="38">
        <f>SUM(CL8:CL24)</f>
        <v>842.1565167999998</v>
      </c>
      <c r="CM25" s="38">
        <f>SUM(CM8:CM24)</f>
        <v>8.7504272</v>
      </c>
      <c r="CN25" s="5"/>
      <c r="CO25" s="38">
        <f>SUM(CO8:CO24)</f>
        <v>306117.50399999996</v>
      </c>
      <c r="CP25" s="38">
        <f>SUM(CP8:CP24)</f>
        <v>70303.03895999999</v>
      </c>
      <c r="CQ25" s="38">
        <f>SUM(CQ8:CQ24)</f>
        <v>376420.54296</v>
      </c>
      <c r="CR25" s="38">
        <f>SUM(CR8:CR24)</f>
        <v>52546.55239680001</v>
      </c>
      <c r="CS25" s="38">
        <f>SUM(CS8:CS24)</f>
        <v>545.9849471999999</v>
      </c>
      <c r="CT25" s="5"/>
      <c r="CU25" s="38">
        <f>SUM(CU8:CU24)</f>
        <v>32335.464</v>
      </c>
      <c r="CV25" s="38">
        <f>SUM(CV8:CV24)</f>
        <v>7426.172485000001</v>
      </c>
      <c r="CW25" s="38">
        <f>SUM(CW8:CW24)</f>
        <v>39761.63648500001</v>
      </c>
      <c r="CX25" s="38">
        <f>SUM(CX8:CX24)</f>
        <v>5550.539028800001</v>
      </c>
      <c r="CY25" s="38">
        <f>SUM(CY8:CY24)</f>
        <v>57.672875200000014</v>
      </c>
      <c r="CZ25" s="5"/>
      <c r="DA25" s="38">
        <f>SUM(DA8:DA24)</f>
        <v>88334.232</v>
      </c>
      <c r="DB25" s="38">
        <f>SUM(DB8:DB24)</f>
        <v>20286.866555000008</v>
      </c>
      <c r="DC25" s="38">
        <f>SUM(DC8:DC24)</f>
        <v>108621.098555</v>
      </c>
      <c r="DD25" s="38">
        <f>SUM(DD8:DD24)</f>
        <v>15162.998814399996</v>
      </c>
      <c r="DE25" s="38">
        <f>SUM(DE8:DE24)</f>
        <v>157.55113759999998</v>
      </c>
      <c r="DF25" s="5"/>
      <c r="DG25" s="38">
        <f>SUM(DG8:DG24)</f>
        <v>864054.072</v>
      </c>
      <c r="DH25" s="38">
        <f>SUM(DH8:DH24)</f>
        <v>198438.92065500005</v>
      </c>
      <c r="DI25" s="38">
        <f>SUM(DI8:DI24)</f>
        <v>1062492.992655</v>
      </c>
      <c r="DJ25" s="38">
        <f>SUM(DJ8:DJ24)</f>
        <v>148319.06694240004</v>
      </c>
      <c r="DK25" s="38">
        <f>SUM(DK8:DK24)</f>
        <v>1541.1092495999997</v>
      </c>
      <c r="DL25" s="5"/>
      <c r="DM25" s="38">
        <f>SUM(DM8:DM24)</f>
        <v>119325.024</v>
      </c>
      <c r="DN25" s="38">
        <f>SUM(DN8:DN24)</f>
        <v>27404.221260000002</v>
      </c>
      <c r="DO25" s="38">
        <f>SUM(DO8:DO24)</f>
        <v>146729.24525999997</v>
      </c>
      <c r="DP25" s="38">
        <f>SUM(DP8:DP24)</f>
        <v>20482.7183808</v>
      </c>
      <c r="DQ25" s="38">
        <f>SUM(DQ8:DQ24)</f>
        <v>212.82568320000007</v>
      </c>
      <c r="DR25" s="5"/>
      <c r="DS25" s="38">
        <f>SUM(DS8:DS24)</f>
        <v>476676.48</v>
      </c>
      <c r="DT25" s="38">
        <f>SUM(DT8:DT24)</f>
        <v>109473.66520000002</v>
      </c>
      <c r="DU25" s="38">
        <f>SUM(DU8:DU24)</f>
        <v>586150.1451999999</v>
      </c>
      <c r="DV25" s="38">
        <f>SUM(DV8:DV24)</f>
        <v>81823.82681600002</v>
      </c>
      <c r="DW25" s="38">
        <f>SUM(DW8:DW24)</f>
        <v>850.1904639999998</v>
      </c>
      <c r="DX25" s="5"/>
      <c r="DY25" s="38">
        <f>SUM(DY8:DY24)</f>
        <v>3833046</v>
      </c>
      <c r="DZ25" s="38">
        <f>SUM(DZ8:DZ24)</f>
        <v>880298.5087499999</v>
      </c>
      <c r="EA25" s="38">
        <f>SUM(EA8:EA24)</f>
        <v>4713344.50875</v>
      </c>
      <c r="EB25" s="38">
        <f>SUM(EB8:EB24)</f>
        <v>657960.9132000001</v>
      </c>
      <c r="EC25" s="38">
        <f>SUM(EC8:EC24)</f>
        <v>6836.5427999999965</v>
      </c>
      <c r="ED25" s="5"/>
      <c r="EE25" s="38">
        <f>SUM(EE8:EE24)</f>
        <v>5726232.12</v>
      </c>
      <c r="EF25" s="38">
        <f>SUM(EF8:EF24)</f>
        <v>1315088.208175</v>
      </c>
      <c r="EG25" s="38">
        <f>SUM(EG8:EG24)</f>
        <v>7041320.328174999</v>
      </c>
      <c r="EH25" s="38">
        <f>SUM(EH8:EH24)</f>
        <v>982935.4813039997</v>
      </c>
      <c r="EI25" s="38">
        <f>SUM(EI8:EI24)</f>
        <v>10213.191015999999</v>
      </c>
      <c r="EJ25" s="5"/>
      <c r="EK25" s="38">
        <f>SUM(EK8:EK24)</f>
        <v>47726.111999999994</v>
      </c>
      <c r="EL25" s="38">
        <f>SUM(EL8:EL24)</f>
        <v>10960.793380000003</v>
      </c>
      <c r="EM25" s="38">
        <f>SUM(EM8:EM24)</f>
        <v>58686.905380000004</v>
      </c>
      <c r="EN25" s="38">
        <f>SUM(EN8:EN24)</f>
        <v>8192.418310399999</v>
      </c>
      <c r="EO25" s="38">
        <f>SUM(EO8:EO24)</f>
        <v>85.12332160000003</v>
      </c>
      <c r="EP25" s="5"/>
      <c r="EQ25" s="38">
        <f>SUM(EQ8:EQ24)</f>
        <v>1830035.256</v>
      </c>
      <c r="ER25" s="38">
        <f>SUM(ER8:ER24)</f>
        <v>420286.452815</v>
      </c>
      <c r="ES25" s="38">
        <f>SUM(ES8:ES24)</f>
        <v>2250321.708815</v>
      </c>
      <c r="ET25" s="38">
        <f>SUM(ET8:ET24)</f>
        <v>314134.41639520007</v>
      </c>
      <c r="EU25" s="38">
        <f>SUM(EU8:EU24)</f>
        <v>3264.013620799999</v>
      </c>
      <c r="EV25" s="5"/>
      <c r="EW25" s="38">
        <f>SUM(EW8:EW24)</f>
        <v>3053384.712</v>
      </c>
      <c r="EX25" s="38">
        <f>SUM(EX8:EX24)</f>
        <v>701241.260505</v>
      </c>
      <c r="EY25" s="38">
        <f>SUM(EY8:EY24)</f>
        <v>3754625.972505</v>
      </c>
      <c r="EZ25" s="38">
        <f>SUM(EZ8:EZ24)</f>
        <v>524128.27643040003</v>
      </c>
      <c r="FA25" s="38">
        <f>SUM(FA8:FA24)</f>
        <v>5445.9548016</v>
      </c>
      <c r="FB25" s="5"/>
      <c r="FC25" s="38">
        <f>SUM(FC8:FC24)</f>
        <v>2614125.1920000003</v>
      </c>
      <c r="FD25" s="38">
        <f>SUM(FD8:FD24)</f>
        <v>600360.7857049998</v>
      </c>
      <c r="FE25" s="38">
        <f>SUM(FE8:FE24)</f>
        <v>3214485.9777049995</v>
      </c>
      <c r="FF25" s="38">
        <f>SUM(FF8:FF24)</f>
        <v>448727.2520463998</v>
      </c>
      <c r="FG25" s="38">
        <f>SUM(FG8:FG24)</f>
        <v>4662.500465600001</v>
      </c>
      <c r="FH25" s="5"/>
      <c r="FI25" s="38">
        <f>SUM(FI8:FI24)</f>
        <v>2592142.728</v>
      </c>
      <c r="FJ25" s="38">
        <f>SUM(FJ8:FJ24)</f>
        <v>595312.2863449999</v>
      </c>
      <c r="FK25" s="38">
        <f>SUM(FK8:FK24)</f>
        <v>3187455.0143450005</v>
      </c>
      <c r="FL25" s="38">
        <f>SUM(FL8:FL24)</f>
        <v>444953.8556175998</v>
      </c>
      <c r="FM25" s="38">
        <f>SUM(FM8:FM24)</f>
        <v>4623.292990399999</v>
      </c>
      <c r="FN25" s="5"/>
      <c r="FO25" s="38">
        <f>SUM(FO8:FO24)</f>
        <v>3758484.9119999995</v>
      </c>
      <c r="FP25" s="38">
        <f>SUM(FP8:FP24)</f>
        <v>863174.7866299999</v>
      </c>
      <c r="FQ25" s="38">
        <f>SUM(FQ8:FQ24)</f>
        <v>4621659.6986299995</v>
      </c>
      <c r="FR25" s="38">
        <f>SUM(FR8:FR24)</f>
        <v>645162.1412703998</v>
      </c>
      <c r="FS25" s="38">
        <f>SUM(FS8:FS24)</f>
        <v>6703.557161599998</v>
      </c>
      <c r="FT25" s="5"/>
      <c r="FU25" s="38">
        <f>SUM(FU8:FU24)</f>
        <v>4760733.264</v>
      </c>
      <c r="FV25" s="38">
        <f>SUM(FV8:FV24)</f>
        <v>1093351.4476100001</v>
      </c>
      <c r="FW25" s="38">
        <f>SUM(FW8:FW24)</f>
        <v>5854084.71161</v>
      </c>
      <c r="FX25" s="38">
        <f>SUM(FX8:FX24)</f>
        <v>817202.9257887999</v>
      </c>
      <c r="FY25" s="38">
        <f>SUM(FY8:FY24)</f>
        <v>8491.146915200003</v>
      </c>
      <c r="FZ25" s="5"/>
      <c r="GA25" s="38">
        <f>SUM(GA8:GA24)</f>
        <v>21967.847999999998</v>
      </c>
      <c r="GB25" s="38">
        <f>SUM(GB8:GB24)</f>
        <v>5045.142644999999</v>
      </c>
      <c r="GC25" s="38">
        <f>SUM(GC8:GC24)</f>
        <v>27012.990644999998</v>
      </c>
      <c r="GD25" s="38">
        <f>SUM(GD8:GD24)</f>
        <v>3770.887521600001</v>
      </c>
      <c r="GE25" s="38">
        <f>SUM(GE8:GE24)</f>
        <v>39.18140640000001</v>
      </c>
      <c r="GF25" s="34"/>
      <c r="GG25" s="38">
        <f>SUM(GG8:GG24)</f>
        <v>0</v>
      </c>
      <c r="GH25" s="38">
        <f>SUM(GH8:GH24)</f>
        <v>0</v>
      </c>
      <c r="GI25" s="38">
        <f>SUM(GI8:GI24)</f>
        <v>0</v>
      </c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</row>
    <row r="26" spans="21:230" ht="13.5" thickTop="1">
      <c r="U26" s="5"/>
      <c r="V26" s="5"/>
      <c r="W26" s="5"/>
      <c r="X26" s="5"/>
      <c r="Y26" s="5"/>
      <c r="AA26" s="5"/>
      <c r="AB26" s="5"/>
      <c r="AC26" s="5"/>
      <c r="AD26" s="5"/>
      <c r="AE26" s="5"/>
      <c r="AY26" s="5"/>
      <c r="AZ26" s="5"/>
      <c r="BA26" s="5"/>
      <c r="BB26" s="5"/>
      <c r="BC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</row>
    <row r="27" spans="3:230" ht="12.75">
      <c r="C27" s="3">
        <f>I25+O25</f>
        <v>48720000</v>
      </c>
      <c r="D27" s="3">
        <f>J25+P25</f>
        <v>11189050.000000002</v>
      </c>
      <c r="E27" s="3">
        <f>K25+Q25</f>
        <v>59909050.00000001</v>
      </c>
      <c r="F27" s="3">
        <f>L25+R25</f>
        <v>8363024</v>
      </c>
      <c r="G27" s="3">
        <f>M25+S25</f>
        <v>86888.01425759999</v>
      </c>
      <c r="P27" s="5"/>
      <c r="U27" s="5"/>
      <c r="V27" s="5"/>
      <c r="W27" s="5"/>
      <c r="X27" s="5"/>
      <c r="Y27" s="5"/>
      <c r="AA27" s="5"/>
      <c r="AB27" s="5"/>
      <c r="AC27" s="5"/>
      <c r="AD27" s="5"/>
      <c r="AE27" s="5"/>
      <c r="AY27" s="5"/>
      <c r="AZ27" s="5"/>
      <c r="BA27" s="5"/>
      <c r="BB27" s="5"/>
      <c r="BC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</row>
    <row r="28" spans="21:230" ht="12.75">
      <c r="U28" s="5"/>
      <c r="V28" s="5"/>
      <c r="W28" s="5"/>
      <c r="X28" s="5"/>
      <c r="Y28" s="5"/>
      <c r="AA28" s="5"/>
      <c r="AB28" s="5"/>
      <c r="AC28" s="5"/>
      <c r="AD28" s="5"/>
      <c r="AE28" s="5"/>
      <c r="AY28" s="5"/>
      <c r="AZ28" s="5"/>
      <c r="BA28" s="5"/>
      <c r="BB28" s="5"/>
      <c r="BC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</row>
    <row r="29" spans="21:230" ht="12.75">
      <c r="U29" s="5"/>
      <c r="V29" s="5"/>
      <c r="W29" s="5"/>
      <c r="X29" s="5"/>
      <c r="Y29" s="5"/>
      <c r="AA29" s="5"/>
      <c r="AB29" s="5"/>
      <c r="AC29" s="5"/>
      <c r="AD29" s="5"/>
      <c r="AE29" s="5"/>
      <c r="AY29" s="5"/>
      <c r="AZ29" s="5"/>
      <c r="BA29" s="5"/>
      <c r="BB29" s="5"/>
      <c r="BC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</row>
    <row r="30" spans="21:230" ht="12.75">
      <c r="U30" s="5"/>
      <c r="V30" s="5"/>
      <c r="W30" s="5"/>
      <c r="X30" s="5"/>
      <c r="Y30" s="5"/>
      <c r="AA30" s="5"/>
      <c r="AB30" s="5"/>
      <c r="AC30" s="5"/>
      <c r="AD30" s="5"/>
      <c r="AE30" s="5"/>
      <c r="AY30" s="5"/>
      <c r="AZ30" s="5"/>
      <c r="BA30" s="5"/>
      <c r="BB30" s="5"/>
      <c r="BC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</row>
    <row r="31" spans="21:230" ht="12.75">
      <c r="U31" s="5"/>
      <c r="V31" s="5"/>
      <c r="W31" s="5"/>
      <c r="X31" s="5"/>
      <c r="Y31" s="5"/>
      <c r="AA31" s="5"/>
      <c r="AB31" s="5"/>
      <c r="AC31" s="5"/>
      <c r="AD31" s="5"/>
      <c r="AE31" s="5"/>
      <c r="AY31" s="5"/>
      <c r="AZ31" s="5"/>
      <c r="BA31" s="5"/>
      <c r="BB31" s="5"/>
      <c r="BC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</row>
    <row r="32" spans="21:230" ht="12.75">
      <c r="U32" s="5"/>
      <c r="V32" s="5"/>
      <c r="W32" s="5"/>
      <c r="X32" s="5"/>
      <c r="Y32" s="5"/>
      <c r="AA32" s="5"/>
      <c r="AB32" s="5"/>
      <c r="AC32" s="5"/>
      <c r="AD32" s="5"/>
      <c r="AE32" s="5"/>
      <c r="AY32" s="5"/>
      <c r="AZ32" s="5"/>
      <c r="BA32" s="5"/>
      <c r="BB32" s="5"/>
      <c r="BC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</row>
    <row r="33" spans="1:230" ht="12.75">
      <c r="A33"/>
      <c r="U33" s="5"/>
      <c r="V33" s="5"/>
      <c r="W33" s="5"/>
      <c r="X33" s="5"/>
      <c r="Y33" s="5"/>
      <c r="AA33" s="5"/>
      <c r="AB33" s="5"/>
      <c r="AC33" s="5"/>
      <c r="AD33" s="5"/>
      <c r="AE33" s="5"/>
      <c r="AY33" s="5"/>
      <c r="AZ33" s="5"/>
      <c r="BA33" s="5"/>
      <c r="BB33" s="5"/>
      <c r="BC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</row>
    <row r="34" spans="1:230" ht="12.75">
      <c r="A34"/>
      <c r="U34" s="5"/>
      <c r="V34" s="5"/>
      <c r="W34" s="5"/>
      <c r="X34" s="5"/>
      <c r="Y34" s="5"/>
      <c r="AA34" s="5"/>
      <c r="AB34" s="5"/>
      <c r="AC34" s="5"/>
      <c r="AD34" s="5"/>
      <c r="AE34" s="5"/>
      <c r="AY34" s="5"/>
      <c r="AZ34" s="5"/>
      <c r="BA34" s="5"/>
      <c r="BB34" s="5"/>
      <c r="BC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</row>
    <row r="35" spans="1:230" ht="12.75">
      <c r="A35"/>
      <c r="U35" s="5"/>
      <c r="V35" s="5"/>
      <c r="W35" s="5"/>
      <c r="X35" s="5"/>
      <c r="Y35" s="5"/>
      <c r="AA35" s="5"/>
      <c r="AB35" s="5"/>
      <c r="AC35" s="5"/>
      <c r="AD35" s="5"/>
      <c r="AE35" s="5"/>
      <c r="AY35" s="5"/>
      <c r="AZ35" s="5"/>
      <c r="BA35" s="5"/>
      <c r="BB35" s="5"/>
      <c r="BC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</row>
    <row r="36" spans="1:230" ht="12.75">
      <c r="A36"/>
      <c r="U36" s="5"/>
      <c r="V36" s="5"/>
      <c r="W36" s="5"/>
      <c r="X36" s="5"/>
      <c r="Y36" s="5"/>
      <c r="AA36" s="5"/>
      <c r="AB36" s="5"/>
      <c r="AC36" s="5"/>
      <c r="AD36" s="5"/>
      <c r="AE36" s="5"/>
      <c r="AY36" s="5"/>
      <c r="AZ36" s="5"/>
      <c r="BA36" s="5"/>
      <c r="BB36" s="5"/>
      <c r="BC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</row>
    <row r="37" spans="1:230" ht="12.75">
      <c r="A37"/>
      <c r="U37" s="5"/>
      <c r="V37" s="5"/>
      <c r="W37" s="5"/>
      <c r="X37" s="5"/>
      <c r="Y37" s="5"/>
      <c r="AA37" s="5"/>
      <c r="AB37" s="5"/>
      <c r="AC37" s="5"/>
      <c r="AD37" s="5"/>
      <c r="AE37" s="5"/>
      <c r="AY37" s="5"/>
      <c r="AZ37" s="5"/>
      <c r="BA37" s="5"/>
      <c r="BB37" s="5"/>
      <c r="BC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</row>
    <row r="38" spans="1:230" ht="12.75">
      <c r="A38"/>
      <c r="I38"/>
      <c r="J38"/>
      <c r="K38"/>
      <c r="L38"/>
      <c r="M38"/>
      <c r="U38" s="5"/>
      <c r="V38" s="5"/>
      <c r="W38" s="5"/>
      <c r="X38" s="5"/>
      <c r="Y38" s="5"/>
      <c r="AA38" s="5"/>
      <c r="AB38" s="5"/>
      <c r="AC38" s="5"/>
      <c r="AD38" s="5"/>
      <c r="AE38" s="5"/>
      <c r="AY38" s="5"/>
      <c r="AZ38" s="5"/>
      <c r="BA38" s="5"/>
      <c r="BB38" s="5"/>
      <c r="BC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</row>
    <row r="39" spans="1:230" ht="12.75">
      <c r="A39"/>
      <c r="C39"/>
      <c r="D39"/>
      <c r="E39"/>
      <c r="F39"/>
      <c r="G39"/>
      <c r="H39"/>
      <c r="I39"/>
      <c r="J39"/>
      <c r="K39"/>
      <c r="L39"/>
      <c r="M39"/>
      <c r="N39"/>
      <c r="T39"/>
      <c r="U39" s="5"/>
      <c r="V39" s="5"/>
      <c r="W39" s="5"/>
      <c r="X39" s="5"/>
      <c r="Y39" s="5"/>
      <c r="Z39"/>
      <c r="AA39" s="5"/>
      <c r="AB39" s="5"/>
      <c r="AC39" s="5"/>
      <c r="AD39" s="5"/>
      <c r="AE39" s="5"/>
      <c r="AY39" s="5"/>
      <c r="AZ39" s="5"/>
      <c r="BA39" s="5"/>
      <c r="BB39" s="5"/>
      <c r="BC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</row>
    <row r="40" spans="1:230" ht="12.75">
      <c r="A40"/>
      <c r="C40"/>
      <c r="D40"/>
      <c r="E40"/>
      <c r="F40"/>
      <c r="G40"/>
      <c r="H40"/>
      <c r="I40"/>
      <c r="J40"/>
      <c r="K40"/>
      <c r="L40"/>
      <c r="M40"/>
      <c r="N40"/>
      <c r="T40"/>
      <c r="U40" s="5"/>
      <c r="V40" s="5"/>
      <c r="W40" s="5"/>
      <c r="X40" s="5"/>
      <c r="Y40" s="5"/>
      <c r="Z40"/>
      <c r="AA40" s="5"/>
      <c r="AB40" s="5"/>
      <c r="AC40" s="5"/>
      <c r="AD40" s="5"/>
      <c r="AE40" s="5"/>
      <c r="AY40" s="5"/>
      <c r="AZ40" s="5"/>
      <c r="BA40" s="5"/>
      <c r="BB40" s="5"/>
      <c r="BC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</row>
    <row r="41" spans="1:230" ht="12.75">
      <c r="A41"/>
      <c r="C41"/>
      <c r="D41"/>
      <c r="E41"/>
      <c r="F41"/>
      <c r="G41"/>
      <c r="H41"/>
      <c r="I41"/>
      <c r="J41"/>
      <c r="K41"/>
      <c r="L41"/>
      <c r="M41"/>
      <c r="N41"/>
      <c r="T41"/>
      <c r="U41" s="5"/>
      <c r="V41" s="5"/>
      <c r="W41" s="5"/>
      <c r="X41" s="5"/>
      <c r="Y41" s="5"/>
      <c r="Z41"/>
      <c r="AA41" s="5"/>
      <c r="AB41" s="5"/>
      <c r="AC41" s="5"/>
      <c r="AD41" s="5"/>
      <c r="AE41" s="5"/>
      <c r="AY41" s="5"/>
      <c r="AZ41" s="5"/>
      <c r="BA41" s="5"/>
      <c r="BB41" s="5"/>
      <c r="BC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</row>
    <row r="42" spans="1:230" ht="12.75">
      <c r="A42"/>
      <c r="C42"/>
      <c r="D42"/>
      <c r="E42"/>
      <c r="F42"/>
      <c r="G42"/>
      <c r="H42"/>
      <c r="I42"/>
      <c r="J42"/>
      <c r="K42"/>
      <c r="L42"/>
      <c r="M42"/>
      <c r="N42"/>
      <c r="T42"/>
      <c r="U42" s="5"/>
      <c r="V42" s="5"/>
      <c r="W42" s="5"/>
      <c r="X42" s="5"/>
      <c r="Y42" s="5"/>
      <c r="Z42"/>
      <c r="AA42" s="5"/>
      <c r="AB42" s="5"/>
      <c r="AC42" s="5"/>
      <c r="AD42" s="5"/>
      <c r="AE42" s="5"/>
      <c r="AY42" s="5"/>
      <c r="AZ42" s="5"/>
      <c r="BA42" s="5"/>
      <c r="BB42" s="5"/>
      <c r="BC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</row>
    <row r="43" spans="1:230" ht="12.75">
      <c r="A43"/>
      <c r="C43"/>
      <c r="D43"/>
      <c r="E43"/>
      <c r="F43"/>
      <c r="G43"/>
      <c r="H43"/>
      <c r="I43"/>
      <c r="J43"/>
      <c r="K43"/>
      <c r="L43"/>
      <c r="M43"/>
      <c r="N43"/>
      <c r="T43"/>
      <c r="U43" s="5"/>
      <c r="V43" s="5"/>
      <c r="W43" s="5"/>
      <c r="X43" s="5"/>
      <c r="Y43" s="5"/>
      <c r="Z43"/>
      <c r="AA43" s="5"/>
      <c r="AB43" s="5"/>
      <c r="AC43" s="5"/>
      <c r="AD43" s="5"/>
      <c r="AE43" s="5"/>
      <c r="AY43" s="5"/>
      <c r="AZ43" s="5"/>
      <c r="BA43" s="5"/>
      <c r="BB43" s="5"/>
      <c r="BC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</row>
    <row r="44" spans="1:230" ht="12.75">
      <c r="A44"/>
      <c r="C44"/>
      <c r="D44"/>
      <c r="E44"/>
      <c r="F44"/>
      <c r="G44"/>
      <c r="H44"/>
      <c r="I44"/>
      <c r="J44"/>
      <c r="K44"/>
      <c r="L44"/>
      <c r="M44"/>
      <c r="N44"/>
      <c r="T44"/>
      <c r="U44" s="5"/>
      <c r="V44" s="5"/>
      <c r="W44" s="5"/>
      <c r="X44" s="5"/>
      <c r="Y44" s="5"/>
      <c r="Z44"/>
      <c r="AA44" s="5"/>
      <c r="AB44" s="5"/>
      <c r="AC44" s="5"/>
      <c r="AD44" s="5"/>
      <c r="AE44" s="5"/>
      <c r="AY44" s="5"/>
      <c r="AZ44" s="5"/>
      <c r="BA44" s="5"/>
      <c r="BB44" s="5"/>
      <c r="BC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</row>
    <row r="45" spans="1:230" ht="12.75">
      <c r="A45"/>
      <c r="C45"/>
      <c r="D45"/>
      <c r="E45"/>
      <c r="F45"/>
      <c r="G45"/>
      <c r="H45"/>
      <c r="I45"/>
      <c r="J45"/>
      <c r="K45"/>
      <c r="L45"/>
      <c r="M45"/>
      <c r="N45"/>
      <c r="T45"/>
      <c r="U45" s="5"/>
      <c r="V45" s="5"/>
      <c r="W45" s="5"/>
      <c r="X45" s="5"/>
      <c r="Y45" s="5"/>
      <c r="Z45"/>
      <c r="AA45" s="5"/>
      <c r="AB45" s="5"/>
      <c r="AC45" s="5"/>
      <c r="AD45" s="5"/>
      <c r="AE45" s="5"/>
      <c r="AY45" s="5"/>
      <c r="AZ45" s="5"/>
      <c r="BA45" s="5"/>
      <c r="BB45" s="5"/>
      <c r="BC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</row>
    <row r="46" spans="1:230" ht="12.75">
      <c r="A46"/>
      <c r="C46"/>
      <c r="D46"/>
      <c r="E46"/>
      <c r="F46"/>
      <c r="G46"/>
      <c r="H46"/>
      <c r="I46"/>
      <c r="J46"/>
      <c r="K46"/>
      <c r="L46"/>
      <c r="M46"/>
      <c r="N46"/>
      <c r="T46"/>
      <c r="U46" s="5"/>
      <c r="V46" s="5"/>
      <c r="W46" s="5"/>
      <c r="X46" s="5"/>
      <c r="Y46" s="5"/>
      <c r="Z46"/>
      <c r="AA46" s="5"/>
      <c r="AB46" s="5"/>
      <c r="AC46" s="5"/>
      <c r="AD46" s="5"/>
      <c r="AE46" s="5"/>
      <c r="AY46" s="5"/>
      <c r="AZ46" s="5"/>
      <c r="BA46" s="5"/>
      <c r="BB46" s="5"/>
      <c r="BC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</row>
    <row r="47" spans="1:230" ht="12.75">
      <c r="A47"/>
      <c r="C47"/>
      <c r="D47"/>
      <c r="E47"/>
      <c r="F47"/>
      <c r="G47"/>
      <c r="H47"/>
      <c r="I47"/>
      <c r="J47"/>
      <c r="K47"/>
      <c r="L47"/>
      <c r="M47"/>
      <c r="N47"/>
      <c r="T47"/>
      <c r="U47" s="5"/>
      <c r="V47" s="5"/>
      <c r="W47" s="5"/>
      <c r="X47" s="5"/>
      <c r="Y47" s="5"/>
      <c r="Z47"/>
      <c r="AA47" s="5"/>
      <c r="AB47" s="5"/>
      <c r="AC47" s="5"/>
      <c r="AD47" s="5"/>
      <c r="AE47" s="5"/>
      <c r="AY47" s="5"/>
      <c r="AZ47" s="5"/>
      <c r="BA47" s="5"/>
      <c r="BB47" s="5"/>
      <c r="BC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</row>
    <row r="48" spans="1:230" ht="12.75">
      <c r="A48"/>
      <c r="C48"/>
      <c r="D48"/>
      <c r="E48"/>
      <c r="F48"/>
      <c r="G48"/>
      <c r="H48"/>
      <c r="I48"/>
      <c r="J48"/>
      <c r="K48"/>
      <c r="L48"/>
      <c r="M48"/>
      <c r="N48"/>
      <c r="T48"/>
      <c r="U48" s="5"/>
      <c r="V48" s="5"/>
      <c r="W48" s="5"/>
      <c r="X48" s="5"/>
      <c r="Y48" s="5"/>
      <c r="Z48"/>
      <c r="AA48" s="5"/>
      <c r="AB48" s="5"/>
      <c r="AC48" s="5"/>
      <c r="AD48" s="5"/>
      <c r="AE48" s="5"/>
      <c r="AY48" s="5"/>
      <c r="AZ48" s="5"/>
      <c r="BA48" s="5"/>
      <c r="BB48" s="5"/>
      <c r="BC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</row>
    <row r="49" spans="1:230" ht="12.75">
      <c r="A49"/>
      <c r="C49"/>
      <c r="D49"/>
      <c r="E49"/>
      <c r="F49"/>
      <c r="G49"/>
      <c r="H49"/>
      <c r="I49"/>
      <c r="J49"/>
      <c r="K49"/>
      <c r="L49"/>
      <c r="M49"/>
      <c r="N49"/>
      <c r="T49"/>
      <c r="U49" s="5"/>
      <c r="V49" s="5"/>
      <c r="W49" s="5"/>
      <c r="X49" s="5"/>
      <c r="Y49" s="5"/>
      <c r="Z49"/>
      <c r="AA49" s="5"/>
      <c r="AB49" s="5"/>
      <c r="AC49" s="5"/>
      <c r="AD49" s="5"/>
      <c r="AE49" s="5"/>
      <c r="AY49" s="5"/>
      <c r="AZ49" s="5"/>
      <c r="BA49" s="5"/>
      <c r="BB49" s="5"/>
      <c r="BC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</row>
    <row r="50" spans="1:230" ht="12.75">
      <c r="A50"/>
      <c r="C50"/>
      <c r="D50"/>
      <c r="E50"/>
      <c r="F50"/>
      <c r="G50"/>
      <c r="H50"/>
      <c r="I50"/>
      <c r="J50"/>
      <c r="K50"/>
      <c r="L50"/>
      <c r="M50"/>
      <c r="N50"/>
      <c r="T50"/>
      <c r="U50" s="5"/>
      <c r="V50" s="5"/>
      <c r="W50" s="5"/>
      <c r="X50" s="5"/>
      <c r="Y50" s="5"/>
      <c r="Z50"/>
      <c r="AA50" s="5"/>
      <c r="AB50" s="5"/>
      <c r="AC50" s="5"/>
      <c r="AD50" s="5"/>
      <c r="AE50" s="5"/>
      <c r="AY50" s="5"/>
      <c r="AZ50" s="5"/>
      <c r="BA50" s="5"/>
      <c r="BB50" s="5"/>
      <c r="BC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</row>
    <row r="51" spans="1:230" ht="12.75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U51" s="5"/>
      <c r="V51" s="5"/>
      <c r="W51" s="5"/>
      <c r="X51" s="5"/>
      <c r="Y51" s="5"/>
      <c r="Z51"/>
      <c r="AA51" s="5"/>
      <c r="AB51" s="5"/>
      <c r="AC51" s="5"/>
      <c r="AD51" s="5"/>
      <c r="AE51" s="5"/>
      <c r="AY51" s="5"/>
      <c r="AZ51" s="5"/>
      <c r="BA51" s="5"/>
      <c r="BB51" s="5"/>
      <c r="BC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</row>
    <row r="52" spans="1:230" ht="12.75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U52" s="5"/>
      <c r="V52" s="5"/>
      <c r="W52" s="5"/>
      <c r="X52" s="5"/>
      <c r="Y52" s="5"/>
      <c r="Z52"/>
      <c r="AA52" s="5"/>
      <c r="AB52" s="5"/>
      <c r="AC52" s="5"/>
      <c r="AD52" s="5"/>
      <c r="AE52" s="5"/>
      <c r="AY52" s="5"/>
      <c r="AZ52" s="5"/>
      <c r="BA52" s="5"/>
      <c r="BB52" s="5"/>
      <c r="BC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</row>
    <row r="53" spans="1:230" ht="12.75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U53" s="5"/>
      <c r="V53" s="5"/>
      <c r="W53" s="5"/>
      <c r="X53" s="5"/>
      <c r="Y53" s="5"/>
      <c r="Z53"/>
      <c r="AA53" s="5"/>
      <c r="AB53" s="5"/>
      <c r="AC53" s="5"/>
      <c r="AD53" s="5"/>
      <c r="AE53" s="5"/>
      <c r="AY53" s="5"/>
      <c r="AZ53" s="5"/>
      <c r="BA53" s="5"/>
      <c r="BB53" s="5"/>
      <c r="BC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</row>
    <row r="54" spans="1:230" ht="12.75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U54" s="5"/>
      <c r="V54" s="5"/>
      <c r="W54" s="5"/>
      <c r="X54" s="5"/>
      <c r="Y54" s="5"/>
      <c r="Z54"/>
      <c r="AA54" s="5"/>
      <c r="AB54" s="5"/>
      <c r="AC54" s="5"/>
      <c r="AD54" s="5"/>
      <c r="AE54" s="5"/>
      <c r="AY54" s="5"/>
      <c r="AZ54" s="5"/>
      <c r="BA54" s="5"/>
      <c r="BB54" s="5"/>
      <c r="BC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</row>
    <row r="55" spans="1:230" ht="12.75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U55" s="5"/>
      <c r="V55" s="5"/>
      <c r="W55" s="5"/>
      <c r="X55" s="5"/>
      <c r="Y55" s="5"/>
      <c r="Z55"/>
      <c r="AA55" s="5"/>
      <c r="AB55" s="5"/>
      <c r="AC55" s="5"/>
      <c r="AD55" s="5"/>
      <c r="AE55" s="5"/>
      <c r="AY55" s="5"/>
      <c r="AZ55" s="5"/>
      <c r="BA55" s="5"/>
      <c r="BB55" s="5"/>
      <c r="BC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</row>
    <row r="56" spans="1:230" ht="12.75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U56" s="5"/>
      <c r="V56" s="5"/>
      <c r="W56" s="5"/>
      <c r="X56" s="5"/>
      <c r="Y56" s="5"/>
      <c r="Z56"/>
      <c r="AA56" s="5"/>
      <c r="AB56" s="5"/>
      <c r="AC56" s="5"/>
      <c r="AD56" s="5"/>
      <c r="AE56" s="5"/>
      <c r="AY56" s="5"/>
      <c r="AZ56" s="5"/>
      <c r="BA56" s="5"/>
      <c r="BB56" s="5"/>
      <c r="BC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</row>
    <row r="57" spans="1:230" ht="12.75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U57" s="5"/>
      <c r="V57" s="5"/>
      <c r="W57" s="5"/>
      <c r="X57" s="5"/>
      <c r="Y57" s="5"/>
      <c r="Z57"/>
      <c r="AA57" s="5"/>
      <c r="AB57" s="5"/>
      <c r="AC57" s="5"/>
      <c r="AD57" s="5"/>
      <c r="AE57" s="5"/>
      <c r="AY57" s="5"/>
      <c r="AZ57" s="5"/>
      <c r="BA57" s="5"/>
      <c r="BB57" s="5"/>
      <c r="BC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</row>
    <row r="58" spans="1:230" ht="12.75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U58" s="5"/>
      <c r="V58" s="5"/>
      <c r="W58" s="5"/>
      <c r="X58" s="5"/>
      <c r="Y58" s="5"/>
      <c r="Z58"/>
      <c r="AA58" s="5"/>
      <c r="AB58" s="5"/>
      <c r="AC58" s="5"/>
      <c r="AD58" s="5"/>
      <c r="AE58" s="5"/>
      <c r="AY58" s="5"/>
      <c r="AZ58" s="5"/>
      <c r="BA58" s="5"/>
      <c r="BB58" s="5"/>
      <c r="BC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</row>
    <row r="59" spans="1:230" ht="12.75">
      <c r="A59"/>
      <c r="C59"/>
      <c r="D59"/>
      <c r="E59"/>
      <c r="F59"/>
      <c r="G59"/>
      <c r="H59"/>
      <c r="I59"/>
      <c r="J59"/>
      <c r="K59"/>
      <c r="L59"/>
      <c r="M59"/>
      <c r="N59"/>
      <c r="T59"/>
      <c r="U59" s="5"/>
      <c r="V59" s="5"/>
      <c r="W59" s="5"/>
      <c r="X59" s="5"/>
      <c r="Y59" s="5"/>
      <c r="Z59"/>
      <c r="AA59" s="5"/>
      <c r="AB59" s="5"/>
      <c r="AC59" s="5"/>
      <c r="AD59" s="5"/>
      <c r="AE59" s="5"/>
      <c r="AY59" s="5"/>
      <c r="AZ59" s="5"/>
      <c r="BA59" s="5"/>
      <c r="BB59" s="5"/>
      <c r="BC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</row>
    <row r="60" spans="3:230" ht="12.75">
      <c r="C60"/>
      <c r="D60"/>
      <c r="E60"/>
      <c r="F60"/>
      <c r="G60"/>
      <c r="H60"/>
      <c r="I60"/>
      <c r="J60"/>
      <c r="K60"/>
      <c r="L60"/>
      <c r="M60"/>
      <c r="N60"/>
      <c r="T60"/>
      <c r="U60" s="5"/>
      <c r="V60" s="5"/>
      <c r="W60" s="5"/>
      <c r="X60" s="5"/>
      <c r="Y60" s="5"/>
      <c r="Z60"/>
      <c r="AA60" s="5"/>
      <c r="AB60" s="5"/>
      <c r="AC60" s="5"/>
      <c r="AD60" s="5"/>
      <c r="AE60" s="5"/>
      <c r="AY60" s="5"/>
      <c r="AZ60" s="5"/>
      <c r="BA60" s="5"/>
      <c r="BB60" s="5"/>
      <c r="BC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</row>
    <row r="61" spans="3:230" ht="12.75">
      <c r="C61"/>
      <c r="D61"/>
      <c r="E61"/>
      <c r="F61"/>
      <c r="G61"/>
      <c r="H61"/>
      <c r="I61"/>
      <c r="J61"/>
      <c r="K61"/>
      <c r="L61"/>
      <c r="M61"/>
      <c r="N61"/>
      <c r="T61"/>
      <c r="U61" s="5"/>
      <c r="V61" s="5"/>
      <c r="W61" s="5"/>
      <c r="X61" s="5"/>
      <c r="Y61" s="5"/>
      <c r="Z61"/>
      <c r="AA61" s="5"/>
      <c r="AB61" s="5"/>
      <c r="AC61" s="5"/>
      <c r="AD61" s="5"/>
      <c r="AE61" s="5"/>
      <c r="AY61" s="5"/>
      <c r="AZ61" s="5"/>
      <c r="BA61" s="5"/>
      <c r="BB61" s="5"/>
      <c r="BC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</row>
    <row r="62" spans="3:230" ht="12.75">
      <c r="C62"/>
      <c r="D62"/>
      <c r="E62"/>
      <c r="F62"/>
      <c r="G62"/>
      <c r="H62"/>
      <c r="I62"/>
      <c r="J62"/>
      <c r="K62"/>
      <c r="L62"/>
      <c r="M62"/>
      <c r="N62"/>
      <c r="T62"/>
      <c r="U62" s="5"/>
      <c r="V62" s="5"/>
      <c r="W62" s="5"/>
      <c r="X62" s="5"/>
      <c r="Y62" s="5"/>
      <c r="Z62"/>
      <c r="AA62" s="5"/>
      <c r="AB62" s="5"/>
      <c r="AC62" s="5"/>
      <c r="AD62" s="5"/>
      <c r="AE62" s="5"/>
      <c r="AY62" s="5"/>
      <c r="AZ62" s="5"/>
      <c r="BA62" s="5"/>
      <c r="BB62" s="5"/>
      <c r="BC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</row>
    <row r="63" spans="3:230" ht="12.75">
      <c r="C63"/>
      <c r="D63"/>
      <c r="E63"/>
      <c r="F63"/>
      <c r="G63"/>
      <c r="H63"/>
      <c r="I63"/>
      <c r="J63"/>
      <c r="K63"/>
      <c r="L63"/>
      <c r="M63"/>
      <c r="N63"/>
      <c r="T63"/>
      <c r="U63" s="5"/>
      <c r="V63" s="5"/>
      <c r="W63" s="5"/>
      <c r="X63" s="5"/>
      <c r="Y63" s="5"/>
      <c r="Z63"/>
      <c r="AA63" s="5"/>
      <c r="AB63" s="5"/>
      <c r="AC63" s="5"/>
      <c r="AD63" s="5"/>
      <c r="AE63" s="5"/>
      <c r="AY63" s="5"/>
      <c r="AZ63" s="5"/>
      <c r="BA63" s="5"/>
      <c r="BB63" s="5"/>
      <c r="BC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</row>
    <row r="64" spans="3:230" ht="12.75">
      <c r="C64"/>
      <c r="D64"/>
      <c r="E64"/>
      <c r="F64"/>
      <c r="G64"/>
      <c r="H64"/>
      <c r="I64"/>
      <c r="J64"/>
      <c r="K64"/>
      <c r="L64"/>
      <c r="M64"/>
      <c r="N64"/>
      <c r="T64"/>
      <c r="U64" s="5"/>
      <c r="V64" s="5"/>
      <c r="W64" s="5"/>
      <c r="X64" s="5"/>
      <c r="Y64" s="5"/>
      <c r="Z64"/>
      <c r="AA64" s="5"/>
      <c r="AB64" s="5"/>
      <c r="AC64" s="5"/>
      <c r="AD64" s="5"/>
      <c r="AE64" s="5"/>
      <c r="AY64" s="5"/>
      <c r="AZ64" s="5"/>
      <c r="BA64" s="5"/>
      <c r="BB64" s="5"/>
      <c r="BC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</row>
    <row r="65" spans="3:230" ht="12.75">
      <c r="C65"/>
      <c r="D65"/>
      <c r="E65"/>
      <c r="F65"/>
      <c r="G65"/>
      <c r="H65"/>
      <c r="N65"/>
      <c r="T65"/>
      <c r="U65" s="5"/>
      <c r="V65" s="5"/>
      <c r="W65" s="5"/>
      <c r="X65" s="5"/>
      <c r="Y65" s="5"/>
      <c r="Z65"/>
      <c r="AA65" s="5"/>
      <c r="AB65" s="5"/>
      <c r="AC65" s="5"/>
      <c r="AD65" s="5"/>
      <c r="AE65" s="5"/>
      <c r="AY65" s="5"/>
      <c r="AZ65" s="5"/>
      <c r="BA65" s="5"/>
      <c r="BB65" s="5"/>
      <c r="BC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</row>
    <row r="66" spans="21:230" ht="12.75">
      <c r="U66" s="5"/>
      <c r="V66" s="5"/>
      <c r="W66" s="5"/>
      <c r="X66" s="5"/>
      <c r="Y66" s="5"/>
      <c r="AA66" s="5"/>
      <c r="AB66" s="5"/>
      <c r="AC66" s="5"/>
      <c r="AD66" s="5"/>
      <c r="AE66" s="5"/>
      <c r="AY66" s="5"/>
      <c r="AZ66" s="5"/>
      <c r="BA66" s="5"/>
      <c r="BB66" s="5"/>
      <c r="BC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</row>
    <row r="67" spans="21:230" ht="12.75">
      <c r="U67" s="5"/>
      <c r="V67" s="5"/>
      <c r="W67" s="5"/>
      <c r="X67" s="5"/>
      <c r="Y67" s="5"/>
      <c r="AA67" s="5"/>
      <c r="AB67" s="5"/>
      <c r="AC67" s="5"/>
      <c r="AD67" s="5"/>
      <c r="AE67" s="5"/>
      <c r="AY67" s="5"/>
      <c r="AZ67" s="5"/>
      <c r="BA67" s="5"/>
      <c r="BB67" s="5"/>
      <c r="BC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</row>
    <row r="68" spans="21:230" ht="12.75">
      <c r="U68" s="5"/>
      <c r="V68" s="5"/>
      <c r="W68" s="5"/>
      <c r="X68" s="5"/>
      <c r="Y68" s="5"/>
      <c r="AA68" s="5"/>
      <c r="AB68" s="5"/>
      <c r="AC68" s="5"/>
      <c r="AD68" s="5"/>
      <c r="AE68" s="5"/>
      <c r="AY68" s="5"/>
      <c r="AZ68" s="5"/>
      <c r="BA68" s="5"/>
      <c r="BB68" s="5"/>
      <c r="BC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</row>
    <row r="69" spans="21:230" ht="12.75">
      <c r="U69" s="5"/>
      <c r="V69" s="5"/>
      <c r="W69" s="5"/>
      <c r="X69" s="5"/>
      <c r="Y69" s="5"/>
      <c r="AA69" s="5"/>
      <c r="AB69" s="5"/>
      <c r="AC69" s="5"/>
      <c r="AD69" s="5"/>
      <c r="AE69" s="5"/>
      <c r="AY69" s="5"/>
      <c r="AZ69" s="5"/>
      <c r="BA69" s="5"/>
      <c r="BB69" s="5"/>
      <c r="BC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</row>
    <row r="70" spans="21:230" ht="12.75">
      <c r="U70" s="5"/>
      <c r="V70" s="5"/>
      <c r="W70" s="5"/>
      <c r="X70" s="5"/>
      <c r="Y70" s="5"/>
      <c r="AA70" s="5"/>
      <c r="AB70" s="5"/>
      <c r="AC70" s="5"/>
      <c r="AD70" s="5"/>
      <c r="AE70" s="5"/>
      <c r="AY70" s="5"/>
      <c r="AZ70" s="5"/>
      <c r="BA70" s="5"/>
      <c r="BB70" s="5"/>
      <c r="BC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</row>
    <row r="71" spans="21:230" ht="12.75">
      <c r="U71" s="5"/>
      <c r="V71" s="5"/>
      <c r="W71" s="5"/>
      <c r="X71" s="5"/>
      <c r="Y71" s="5"/>
      <c r="AA71" s="5"/>
      <c r="AB71" s="5"/>
      <c r="AC71" s="5"/>
      <c r="AD71" s="5"/>
      <c r="AE71" s="5"/>
      <c r="AY71" s="5"/>
      <c r="AZ71" s="5"/>
      <c r="BA71" s="5"/>
      <c r="BB71" s="5"/>
      <c r="BC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</row>
    <row r="72" spans="21:230" ht="12.75">
      <c r="U72" s="5"/>
      <c r="V72" s="5"/>
      <c r="W72" s="5"/>
      <c r="X72" s="5"/>
      <c r="Y72" s="5"/>
      <c r="AA72" s="5"/>
      <c r="AB72" s="5"/>
      <c r="AC72" s="5"/>
      <c r="AD72" s="5"/>
      <c r="AE72" s="5"/>
      <c r="AY72" s="5"/>
      <c r="AZ72" s="5"/>
      <c r="BA72" s="5"/>
      <c r="BB72" s="5"/>
      <c r="BC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</row>
    <row r="73" spans="21:230" ht="12.75">
      <c r="U73" s="5"/>
      <c r="V73" s="5"/>
      <c r="W73" s="5"/>
      <c r="X73" s="5"/>
      <c r="Y73" s="5"/>
      <c r="AA73" s="5"/>
      <c r="AB73" s="5"/>
      <c r="AC73" s="5"/>
      <c r="AD73" s="5"/>
      <c r="AE73" s="5"/>
      <c r="AY73" s="5"/>
      <c r="AZ73" s="5"/>
      <c r="BA73" s="5"/>
      <c r="BB73" s="5"/>
      <c r="BC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</row>
    <row r="74" spans="21:230" ht="12.75">
      <c r="U74" s="5"/>
      <c r="V74" s="5"/>
      <c r="W74" s="5"/>
      <c r="X74" s="5"/>
      <c r="Y74" s="5"/>
      <c r="AA74" s="5"/>
      <c r="AB74" s="5"/>
      <c r="AC74" s="5"/>
      <c r="AD74" s="5"/>
      <c r="AE74" s="5"/>
      <c r="AY74" s="5"/>
      <c r="AZ74" s="5"/>
      <c r="BA74" s="5"/>
      <c r="BB74" s="5"/>
      <c r="BC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</row>
    <row r="75" spans="21:230" ht="12.75">
      <c r="U75" s="5"/>
      <c r="V75" s="5"/>
      <c r="W75" s="5"/>
      <c r="X75" s="5"/>
      <c r="Y75" s="5"/>
      <c r="AA75" s="5"/>
      <c r="AB75" s="5"/>
      <c r="AC75" s="5"/>
      <c r="AD75" s="5"/>
      <c r="AE75" s="5"/>
      <c r="AY75" s="5"/>
      <c r="AZ75" s="5"/>
      <c r="BA75" s="5"/>
      <c r="BB75" s="5"/>
      <c r="BC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</row>
    <row r="76" spans="21:230" ht="12.75">
      <c r="U76" s="5"/>
      <c r="V76" s="5"/>
      <c r="W76" s="5"/>
      <c r="X76" s="5"/>
      <c r="Y76" s="5"/>
      <c r="AA76" s="5"/>
      <c r="AB76" s="5"/>
      <c r="AC76" s="5"/>
      <c r="AD76" s="5"/>
      <c r="AE76" s="5"/>
      <c r="AY76" s="5"/>
      <c r="AZ76" s="5"/>
      <c r="BA76" s="5"/>
      <c r="BB76" s="5"/>
      <c r="BC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</row>
    <row r="77" spans="21:230" ht="12.75">
      <c r="U77" s="5"/>
      <c r="V77" s="5"/>
      <c r="W77" s="5"/>
      <c r="X77" s="5"/>
      <c r="Y77" s="5"/>
      <c r="AA77" s="5"/>
      <c r="AB77" s="5"/>
      <c r="AC77" s="5"/>
      <c r="AD77" s="5"/>
      <c r="AE77" s="5"/>
      <c r="AY77" s="5"/>
      <c r="AZ77" s="5"/>
      <c r="BA77" s="5"/>
      <c r="BB77" s="5"/>
      <c r="BC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</row>
    <row r="78" spans="21:230" ht="12.75">
      <c r="U78" s="5"/>
      <c r="V78" s="5"/>
      <c r="W78" s="5"/>
      <c r="X78" s="5"/>
      <c r="Y78" s="5"/>
      <c r="AA78" s="5"/>
      <c r="AB78" s="5"/>
      <c r="AC78" s="5"/>
      <c r="AD78" s="5"/>
      <c r="AE78" s="5"/>
      <c r="AY78" s="5"/>
      <c r="AZ78" s="5"/>
      <c r="BA78" s="5"/>
      <c r="BB78" s="5"/>
      <c r="BC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</row>
    <row r="79" spans="21:230" ht="12.75">
      <c r="U79" s="5"/>
      <c r="V79" s="5"/>
      <c r="W79" s="5"/>
      <c r="X79" s="5"/>
      <c r="Y79" s="5"/>
      <c r="AA79" s="5"/>
      <c r="AB79" s="5"/>
      <c r="AC79" s="5"/>
      <c r="AD79" s="5"/>
      <c r="AE79" s="5"/>
      <c r="AY79" s="5"/>
      <c r="AZ79" s="5"/>
      <c r="BA79" s="5"/>
      <c r="BB79" s="5"/>
      <c r="BC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</row>
    <row r="80" spans="21:230" ht="12.75">
      <c r="U80" s="5"/>
      <c r="V80" s="5"/>
      <c r="W80" s="5"/>
      <c r="X80" s="5"/>
      <c r="Y80" s="5"/>
      <c r="AA80" s="5"/>
      <c r="AB80" s="5"/>
      <c r="AC80" s="5"/>
      <c r="AD80" s="5"/>
      <c r="AE80" s="5"/>
      <c r="AY80" s="5"/>
      <c r="AZ80" s="5"/>
      <c r="BA80" s="5"/>
      <c r="BB80" s="5"/>
      <c r="BC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</row>
    <row r="81" spans="21:230" ht="12.75">
      <c r="U81" s="5"/>
      <c r="V81" s="5"/>
      <c r="W81" s="5"/>
      <c r="X81" s="5"/>
      <c r="Y81" s="5"/>
      <c r="AA81" s="5"/>
      <c r="AB81" s="5"/>
      <c r="AC81" s="5"/>
      <c r="AD81" s="5"/>
      <c r="AE81" s="5"/>
      <c r="AY81" s="5"/>
      <c r="AZ81" s="5"/>
      <c r="BA81" s="5"/>
      <c r="BB81" s="5"/>
      <c r="BC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</row>
    <row r="82" spans="21:230" ht="12.75">
      <c r="U82" s="5"/>
      <c r="V82" s="5"/>
      <c r="W82" s="5"/>
      <c r="X82" s="5"/>
      <c r="Y82" s="5"/>
      <c r="AA82" s="5"/>
      <c r="AB82" s="5"/>
      <c r="AC82" s="5"/>
      <c r="AD82" s="5"/>
      <c r="AE82" s="5"/>
      <c r="AY82" s="5"/>
      <c r="AZ82" s="5"/>
      <c r="BA82" s="5"/>
      <c r="BB82" s="5"/>
      <c r="BC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</row>
    <row r="83" spans="21:230" ht="12.75">
      <c r="U83" s="5"/>
      <c r="V83" s="5"/>
      <c r="W83" s="5"/>
      <c r="X83" s="5"/>
      <c r="Y83" s="5"/>
      <c r="AA83" s="5"/>
      <c r="AB83" s="5"/>
      <c r="AC83" s="5"/>
      <c r="AD83" s="5"/>
      <c r="AE83" s="5"/>
      <c r="AY83" s="5"/>
      <c r="AZ83" s="5"/>
      <c r="BA83" s="5"/>
      <c r="BB83" s="5"/>
      <c r="BC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</row>
    <row r="84" spans="21:230" ht="12.75">
      <c r="U84" s="5"/>
      <c r="V84" s="5"/>
      <c r="W84" s="5"/>
      <c r="X84" s="5"/>
      <c r="Y84" s="5"/>
      <c r="AA84" s="5"/>
      <c r="AB84" s="5"/>
      <c r="AC84" s="5"/>
      <c r="AD84" s="5"/>
      <c r="AE84" s="5"/>
      <c r="AY84" s="5"/>
      <c r="AZ84" s="5"/>
      <c r="BA84" s="5"/>
      <c r="BB84" s="5"/>
      <c r="BC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</row>
    <row r="85" spans="21:230" ht="12.75">
      <c r="U85" s="5"/>
      <c r="V85" s="5"/>
      <c r="W85" s="5"/>
      <c r="X85" s="5"/>
      <c r="Y85" s="5"/>
      <c r="AA85" s="5"/>
      <c r="AB85" s="5"/>
      <c r="AC85" s="5"/>
      <c r="AD85" s="5"/>
      <c r="AE85" s="5"/>
      <c r="AY85" s="5"/>
      <c r="AZ85" s="5"/>
      <c r="BA85" s="5"/>
      <c r="BB85" s="5"/>
      <c r="BC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</row>
    <row r="86" spans="21:230" ht="12.75">
      <c r="U86" s="5"/>
      <c r="V86" s="5"/>
      <c r="W86" s="5"/>
      <c r="X86" s="5"/>
      <c r="Y86" s="5"/>
      <c r="AA86" s="5"/>
      <c r="AB86" s="5"/>
      <c r="AC86" s="5"/>
      <c r="AD86" s="5"/>
      <c r="AE86" s="5"/>
      <c r="AY86" s="5"/>
      <c r="AZ86" s="5"/>
      <c r="BA86" s="5"/>
      <c r="BB86" s="5"/>
      <c r="BC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</row>
    <row r="87" spans="21:230" ht="12.75">
      <c r="U87" s="5"/>
      <c r="V87" s="5"/>
      <c r="W87" s="5"/>
      <c r="X87" s="5"/>
      <c r="Y87" s="5"/>
      <c r="AA87" s="5"/>
      <c r="AB87" s="5"/>
      <c r="AC87" s="5"/>
      <c r="AD87" s="5"/>
      <c r="AE87" s="5"/>
      <c r="AY87" s="5"/>
      <c r="AZ87" s="5"/>
      <c r="BA87" s="5"/>
      <c r="BB87" s="5"/>
      <c r="BC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</row>
    <row r="88" spans="21:230" ht="12.75">
      <c r="U88" s="5"/>
      <c r="V88" s="5"/>
      <c r="W88" s="5"/>
      <c r="X88" s="5"/>
      <c r="Y88" s="5"/>
      <c r="AA88" s="5"/>
      <c r="AB88" s="5"/>
      <c r="AC88" s="5"/>
      <c r="AD88" s="5"/>
      <c r="AE88" s="5"/>
      <c r="AY88" s="5"/>
      <c r="AZ88" s="5"/>
      <c r="BA88" s="5"/>
      <c r="BB88" s="5"/>
      <c r="BC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</row>
    <row r="89" spans="21:230" ht="12.75">
      <c r="U89" s="5"/>
      <c r="V89" s="5"/>
      <c r="W89" s="5"/>
      <c r="X89" s="5"/>
      <c r="Y89" s="5"/>
      <c r="AA89" s="5"/>
      <c r="AB89" s="5"/>
      <c r="AC89" s="5"/>
      <c r="AD89" s="5"/>
      <c r="AE89" s="5"/>
      <c r="AY89" s="5"/>
      <c r="AZ89" s="5"/>
      <c r="BA89" s="5"/>
      <c r="BB89" s="5"/>
      <c r="BC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</row>
    <row r="90" spans="21:230" ht="12.75">
      <c r="U90" s="5"/>
      <c r="V90" s="5"/>
      <c r="W90" s="5"/>
      <c r="X90" s="5"/>
      <c r="Y90" s="5"/>
      <c r="AA90" s="5"/>
      <c r="AB90" s="5"/>
      <c r="AC90" s="5"/>
      <c r="AD90" s="5"/>
      <c r="AE90" s="5"/>
      <c r="AY90" s="5"/>
      <c r="AZ90" s="5"/>
      <c r="BA90" s="5"/>
      <c r="BB90" s="5"/>
      <c r="BC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</row>
    <row r="91" spans="21:230" ht="12.75">
      <c r="U91" s="5"/>
      <c r="V91" s="5"/>
      <c r="W91" s="5"/>
      <c r="X91" s="5"/>
      <c r="Y91" s="5"/>
      <c r="AA91" s="5"/>
      <c r="AB91" s="5"/>
      <c r="AC91" s="5"/>
      <c r="AD91" s="5"/>
      <c r="AE91" s="5"/>
      <c r="AY91" s="5"/>
      <c r="AZ91" s="5"/>
      <c r="BA91" s="5"/>
      <c r="BB91" s="5"/>
      <c r="BC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</row>
    <row r="92" spans="21:230" ht="12.75">
      <c r="U92" s="5"/>
      <c r="V92" s="5"/>
      <c r="W92" s="5"/>
      <c r="X92" s="5"/>
      <c r="Y92" s="5"/>
      <c r="AA92" s="5"/>
      <c r="AB92" s="5"/>
      <c r="AC92" s="5"/>
      <c r="AD92" s="5"/>
      <c r="AE92" s="5"/>
      <c r="AY92" s="5"/>
      <c r="AZ92" s="5"/>
      <c r="BA92" s="5"/>
      <c r="BB92" s="5"/>
      <c r="BC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</row>
    <row r="93" spans="21:230" ht="12.75">
      <c r="U93" s="5"/>
      <c r="V93" s="5"/>
      <c r="W93" s="5"/>
      <c r="X93" s="5"/>
      <c r="Y93" s="5"/>
      <c r="AA93" s="5"/>
      <c r="AB93" s="5"/>
      <c r="AC93" s="5"/>
      <c r="AD93" s="5"/>
      <c r="AE93" s="5"/>
      <c r="AY93" s="5"/>
      <c r="AZ93" s="5"/>
      <c r="BA93" s="5"/>
      <c r="BB93" s="5"/>
      <c r="BC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</row>
    <row r="94" spans="21:230" ht="12.75">
      <c r="U94" s="5"/>
      <c r="V94" s="5"/>
      <c r="W94" s="5"/>
      <c r="X94" s="5"/>
      <c r="Y94" s="5"/>
      <c r="AA94" s="5"/>
      <c r="AB94" s="5"/>
      <c r="AC94" s="5"/>
      <c r="AD94" s="5"/>
      <c r="AE94" s="5"/>
      <c r="AY94" s="5"/>
      <c r="AZ94" s="5"/>
      <c r="BA94" s="5"/>
      <c r="BB94" s="5"/>
      <c r="BC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</row>
    <row r="95" spans="21:230" ht="12.75">
      <c r="U95" s="5"/>
      <c r="V95" s="5"/>
      <c r="W95" s="5"/>
      <c r="X95" s="5"/>
      <c r="Y95" s="5"/>
      <c r="AA95" s="5"/>
      <c r="AB95" s="5"/>
      <c r="AC95" s="5"/>
      <c r="AD95" s="5"/>
      <c r="AE95" s="5"/>
      <c r="AY95" s="5"/>
      <c r="AZ95" s="5"/>
      <c r="BA95" s="5"/>
      <c r="BB95" s="5"/>
      <c r="BC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</row>
    <row r="96" spans="21:230" ht="12.75">
      <c r="U96" s="5"/>
      <c r="V96" s="5"/>
      <c r="W96" s="5"/>
      <c r="X96" s="5"/>
      <c r="Y96" s="5"/>
      <c r="AA96" s="5"/>
      <c r="AB96" s="5"/>
      <c r="AC96" s="5"/>
      <c r="AD96" s="5"/>
      <c r="AE96" s="5"/>
      <c r="AY96" s="5"/>
      <c r="AZ96" s="5"/>
      <c r="BA96" s="5"/>
      <c r="BB96" s="5"/>
      <c r="BC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</row>
    <row r="97" spans="21:230" ht="12.75">
      <c r="U97" s="5"/>
      <c r="V97" s="5"/>
      <c r="W97" s="5"/>
      <c r="X97" s="5"/>
      <c r="Y97" s="5"/>
      <c r="AA97" s="5"/>
      <c r="AB97" s="5"/>
      <c r="AC97" s="5"/>
      <c r="AD97" s="5"/>
      <c r="AE97" s="5"/>
      <c r="AY97" s="5"/>
      <c r="AZ97" s="5"/>
      <c r="BA97" s="5"/>
      <c r="BB97" s="5"/>
      <c r="BC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</row>
    <row r="98" spans="21:230" ht="12.75">
      <c r="U98" s="5"/>
      <c r="V98" s="5"/>
      <c r="W98" s="5"/>
      <c r="X98" s="5"/>
      <c r="Y98" s="5"/>
      <c r="AA98" s="5"/>
      <c r="AB98" s="5"/>
      <c r="AC98" s="5"/>
      <c r="AD98" s="5"/>
      <c r="AE98" s="5"/>
      <c r="AY98" s="5"/>
      <c r="AZ98" s="5"/>
      <c r="BA98" s="5"/>
      <c r="BB98" s="5"/>
      <c r="BC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</row>
    <row r="99" spans="21:230" ht="12.75">
      <c r="U99" s="5"/>
      <c r="V99" s="5"/>
      <c r="W99" s="5"/>
      <c r="X99" s="5"/>
      <c r="Y99" s="5"/>
      <c r="AA99" s="5"/>
      <c r="AB99" s="5"/>
      <c r="AC99" s="5"/>
      <c r="AD99" s="5"/>
      <c r="AE99" s="5"/>
      <c r="AY99" s="5"/>
      <c r="AZ99" s="5"/>
      <c r="BA99" s="5"/>
      <c r="BB99" s="5"/>
      <c r="BC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</row>
    <row r="100" spans="21:230" ht="12.75">
      <c r="U100" s="5"/>
      <c r="V100" s="5"/>
      <c r="W100" s="5"/>
      <c r="X100" s="5"/>
      <c r="Y100" s="5"/>
      <c r="AA100" s="5"/>
      <c r="AB100" s="5"/>
      <c r="AC100" s="5"/>
      <c r="AD100" s="5"/>
      <c r="AE100" s="5"/>
      <c r="AY100" s="5"/>
      <c r="AZ100" s="5"/>
      <c r="BA100" s="5"/>
      <c r="BB100" s="5"/>
      <c r="BC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</row>
    <row r="101" spans="21:230" ht="12.75">
      <c r="U101" s="5"/>
      <c r="V101" s="5"/>
      <c r="W101" s="5"/>
      <c r="X101" s="5"/>
      <c r="Y101" s="5"/>
      <c r="AA101" s="5"/>
      <c r="AB101" s="5"/>
      <c r="AC101" s="5"/>
      <c r="AD101" s="5"/>
      <c r="AE101" s="5"/>
      <c r="AY101" s="5"/>
      <c r="AZ101" s="5"/>
      <c r="BA101" s="5"/>
      <c r="BB101" s="5"/>
      <c r="BC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</row>
    <row r="102" spans="21:230" ht="12.75">
      <c r="U102" s="5"/>
      <c r="V102" s="5"/>
      <c r="W102" s="5"/>
      <c r="X102" s="5"/>
      <c r="Y102" s="5"/>
      <c r="AA102" s="5"/>
      <c r="AB102" s="5"/>
      <c r="AC102" s="5"/>
      <c r="AD102" s="5"/>
      <c r="AE102" s="5"/>
      <c r="AY102" s="5"/>
      <c r="AZ102" s="5"/>
      <c r="BA102" s="5"/>
      <c r="BB102" s="5"/>
      <c r="BC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</row>
    <row r="103" spans="21:230" ht="12.75">
      <c r="U103" s="5"/>
      <c r="V103" s="5"/>
      <c r="W103" s="5"/>
      <c r="X103" s="5"/>
      <c r="Y103" s="5"/>
      <c r="AA103" s="5"/>
      <c r="AB103" s="5"/>
      <c r="AC103" s="5"/>
      <c r="AD103" s="5"/>
      <c r="AE103" s="5"/>
      <c r="AY103" s="5"/>
      <c r="AZ103" s="5"/>
      <c r="BA103" s="5"/>
      <c r="BB103" s="5"/>
      <c r="BC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</row>
    <row r="104" spans="21:230" ht="12.75">
      <c r="U104" s="5"/>
      <c r="V104" s="5"/>
      <c r="W104" s="5"/>
      <c r="X104" s="5"/>
      <c r="Y104" s="5"/>
      <c r="AA104" s="5"/>
      <c r="AB104" s="5"/>
      <c r="AC104" s="5"/>
      <c r="AD104" s="5"/>
      <c r="AE104" s="5"/>
      <c r="AY104" s="5"/>
      <c r="AZ104" s="5"/>
      <c r="BA104" s="5"/>
      <c r="BB104" s="5"/>
      <c r="BC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</row>
    <row r="105" spans="21:230" ht="12.75">
      <c r="U105" s="5"/>
      <c r="V105" s="5"/>
      <c r="W105" s="5"/>
      <c r="X105" s="5"/>
      <c r="Y105" s="5"/>
      <c r="AA105" s="5"/>
      <c r="AB105" s="5"/>
      <c r="AC105" s="5"/>
      <c r="AD105" s="5"/>
      <c r="AE105" s="5"/>
      <c r="AY105" s="5"/>
      <c r="AZ105" s="5"/>
      <c r="BA105" s="5"/>
      <c r="BB105" s="5"/>
      <c r="BC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</row>
    <row r="106" spans="21:230" ht="12.75">
      <c r="U106" s="5"/>
      <c r="V106" s="5"/>
      <c r="W106" s="5"/>
      <c r="X106" s="5"/>
      <c r="Y106" s="5"/>
      <c r="AA106" s="5"/>
      <c r="AB106" s="5"/>
      <c r="AC106" s="5"/>
      <c r="AD106" s="5"/>
      <c r="AE106" s="5"/>
      <c r="AY106" s="5"/>
      <c r="AZ106" s="5"/>
      <c r="BA106" s="5"/>
      <c r="BB106" s="5"/>
      <c r="BC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</row>
    <row r="107" spans="21:230" ht="12.75">
      <c r="U107" s="5"/>
      <c r="V107" s="5"/>
      <c r="W107" s="5"/>
      <c r="X107" s="5"/>
      <c r="Y107" s="5"/>
      <c r="AA107" s="5"/>
      <c r="AB107" s="5"/>
      <c r="AC107" s="5"/>
      <c r="AD107" s="5"/>
      <c r="AE107" s="5"/>
      <c r="AY107" s="5"/>
      <c r="AZ107" s="5"/>
      <c r="BA107" s="5"/>
      <c r="BB107" s="5"/>
      <c r="BC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</row>
    <row r="108" spans="21:230" ht="12.75">
      <c r="U108" s="5"/>
      <c r="V108" s="5"/>
      <c r="W108" s="5"/>
      <c r="X108" s="5"/>
      <c r="Y108" s="5"/>
      <c r="AA108" s="5"/>
      <c r="AB108" s="5"/>
      <c r="AC108" s="5"/>
      <c r="AD108" s="5"/>
      <c r="AE108" s="5"/>
      <c r="AY108" s="5"/>
      <c r="AZ108" s="5"/>
      <c r="BA108" s="5"/>
      <c r="BB108" s="5"/>
      <c r="BC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</row>
    <row r="109" spans="21:230" ht="12.75">
      <c r="U109" s="5"/>
      <c r="V109" s="5"/>
      <c r="W109" s="5"/>
      <c r="X109" s="5"/>
      <c r="Y109" s="5"/>
      <c r="AA109" s="5"/>
      <c r="AB109" s="5"/>
      <c r="AC109" s="5"/>
      <c r="AD109" s="5"/>
      <c r="AE109" s="5"/>
      <c r="AY109" s="5"/>
      <c r="AZ109" s="5"/>
      <c r="BA109" s="5"/>
      <c r="BB109" s="5"/>
      <c r="BC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</row>
    <row r="110" spans="21:230" ht="12.75">
      <c r="U110" s="5"/>
      <c r="V110" s="5"/>
      <c r="W110" s="5"/>
      <c r="X110" s="5"/>
      <c r="Y110" s="5"/>
      <c r="AA110" s="5"/>
      <c r="AB110" s="5"/>
      <c r="AC110" s="5"/>
      <c r="AD110" s="5"/>
      <c r="AE110" s="5"/>
      <c r="AY110" s="5"/>
      <c r="AZ110" s="5"/>
      <c r="BA110" s="5"/>
      <c r="BB110" s="5"/>
      <c r="BC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</row>
    <row r="111" spans="21:230" ht="12.75">
      <c r="U111" s="5"/>
      <c r="V111" s="5"/>
      <c r="W111" s="5"/>
      <c r="X111" s="5"/>
      <c r="Y111" s="5"/>
      <c r="AA111" s="5"/>
      <c r="AB111" s="5"/>
      <c r="AC111" s="5"/>
      <c r="AD111" s="5"/>
      <c r="AE111" s="5"/>
      <c r="AY111" s="5"/>
      <c r="AZ111" s="5"/>
      <c r="BA111" s="5"/>
      <c r="BB111" s="5"/>
      <c r="BC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</row>
    <row r="112" spans="21:230" ht="12.75">
      <c r="U112" s="5"/>
      <c r="V112" s="5"/>
      <c r="W112" s="5"/>
      <c r="X112" s="5"/>
      <c r="Y112" s="5"/>
      <c r="AA112" s="5"/>
      <c r="AB112" s="5"/>
      <c r="AC112" s="5"/>
      <c r="AD112" s="5"/>
      <c r="AE112" s="5"/>
      <c r="AY112" s="5"/>
      <c r="AZ112" s="5"/>
      <c r="BA112" s="5"/>
      <c r="BB112" s="5"/>
      <c r="BC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</row>
    <row r="113" spans="21:230" ht="12.75">
      <c r="U113" s="5"/>
      <c r="V113" s="5"/>
      <c r="W113" s="5"/>
      <c r="X113" s="5"/>
      <c r="Y113" s="5"/>
      <c r="AA113" s="5"/>
      <c r="AB113" s="5"/>
      <c r="AC113" s="5"/>
      <c r="AD113" s="5"/>
      <c r="AE113" s="5"/>
      <c r="AY113" s="5"/>
      <c r="AZ113" s="5"/>
      <c r="BA113" s="5"/>
      <c r="BB113" s="5"/>
      <c r="BC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</row>
    <row r="114" spans="21:230" ht="12.75">
      <c r="U114" s="5"/>
      <c r="V114" s="5"/>
      <c r="W114" s="5"/>
      <c r="X114" s="5"/>
      <c r="Y114" s="5"/>
      <c r="AA114" s="5"/>
      <c r="AB114" s="5"/>
      <c r="AC114" s="5"/>
      <c r="AD114" s="5"/>
      <c r="AE114" s="5"/>
      <c r="AY114" s="5"/>
      <c r="AZ114" s="5"/>
      <c r="BA114" s="5"/>
      <c r="BB114" s="5"/>
      <c r="BC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</row>
    <row r="115" spans="21:230" ht="12.75">
      <c r="U115" s="5"/>
      <c r="V115" s="5"/>
      <c r="W115" s="5"/>
      <c r="X115" s="5"/>
      <c r="Y115" s="5"/>
      <c r="AA115" s="5"/>
      <c r="AB115" s="5"/>
      <c r="AC115" s="5"/>
      <c r="AD115" s="5"/>
      <c r="AE115" s="5"/>
      <c r="AY115" s="5"/>
      <c r="AZ115" s="5"/>
      <c r="BA115" s="5"/>
      <c r="BB115" s="5"/>
      <c r="BC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</row>
    <row r="116" spans="21:230" ht="12.75">
      <c r="U116" s="5"/>
      <c r="V116" s="5"/>
      <c r="W116" s="5"/>
      <c r="X116" s="5"/>
      <c r="Y116" s="5"/>
      <c r="AA116" s="5"/>
      <c r="AB116" s="5"/>
      <c r="AC116" s="5"/>
      <c r="AD116" s="5"/>
      <c r="AE116" s="5"/>
      <c r="AY116" s="5"/>
      <c r="AZ116" s="5"/>
      <c r="BA116" s="5"/>
      <c r="BB116" s="5"/>
      <c r="BC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</row>
    <row r="117" spans="21:230" ht="12.75">
      <c r="U117" s="5"/>
      <c r="V117" s="5"/>
      <c r="W117" s="5"/>
      <c r="X117" s="5"/>
      <c r="Y117" s="5"/>
      <c r="AA117" s="5"/>
      <c r="AB117" s="5"/>
      <c r="AC117" s="5"/>
      <c r="AD117" s="5"/>
      <c r="AE117" s="5"/>
      <c r="AY117" s="5"/>
      <c r="AZ117" s="5"/>
      <c r="BA117" s="5"/>
      <c r="BB117" s="5"/>
      <c r="BC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</row>
    <row r="118" spans="21:230" ht="12.75">
      <c r="U118" s="5"/>
      <c r="V118" s="5"/>
      <c r="W118" s="5"/>
      <c r="X118" s="5"/>
      <c r="Y118" s="5"/>
      <c r="AA118" s="5"/>
      <c r="AB118" s="5"/>
      <c r="AC118" s="5"/>
      <c r="AD118" s="5"/>
      <c r="AE118" s="5"/>
      <c r="AY118" s="5"/>
      <c r="AZ118" s="5"/>
      <c r="BA118" s="5"/>
      <c r="BB118" s="5"/>
      <c r="BC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</row>
    <row r="119" spans="21:230" ht="12.75">
      <c r="U119" s="5"/>
      <c r="V119" s="5"/>
      <c r="W119" s="5"/>
      <c r="X119" s="5"/>
      <c r="Y119" s="5"/>
      <c r="AA119" s="5"/>
      <c r="AB119" s="5"/>
      <c r="AC119" s="5"/>
      <c r="AD119" s="5"/>
      <c r="AE119" s="5"/>
      <c r="AY119" s="5"/>
      <c r="AZ119" s="5"/>
      <c r="BA119" s="5"/>
      <c r="BB119" s="5"/>
      <c r="BC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</row>
    <row r="120" spans="21:230" ht="12.75">
      <c r="U120" s="5"/>
      <c r="V120" s="5"/>
      <c r="W120" s="5"/>
      <c r="X120" s="5"/>
      <c r="Y120" s="5"/>
      <c r="AA120" s="5"/>
      <c r="AB120" s="5"/>
      <c r="AC120" s="5"/>
      <c r="AD120" s="5"/>
      <c r="AE120" s="5"/>
      <c r="AY120" s="5"/>
      <c r="AZ120" s="5"/>
      <c r="BA120" s="5"/>
      <c r="BB120" s="5"/>
      <c r="BC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</row>
    <row r="121" spans="21:230" ht="12.75">
      <c r="U121" s="5"/>
      <c r="V121" s="5"/>
      <c r="W121" s="5"/>
      <c r="X121" s="5"/>
      <c r="Y121" s="5"/>
      <c r="AA121" s="5"/>
      <c r="AB121" s="5"/>
      <c r="AC121" s="5"/>
      <c r="AD121" s="5"/>
      <c r="AE121" s="5"/>
      <c r="AY121" s="5"/>
      <c r="AZ121" s="5"/>
      <c r="BA121" s="5"/>
      <c r="BB121" s="5"/>
      <c r="BC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</row>
    <row r="122" spans="21:230" ht="12.75">
      <c r="U122" s="5"/>
      <c r="V122" s="5"/>
      <c r="W122" s="5"/>
      <c r="X122" s="5"/>
      <c r="Y122" s="5"/>
      <c r="AA122" s="5"/>
      <c r="AB122" s="5"/>
      <c r="AC122" s="5"/>
      <c r="AD122" s="5"/>
      <c r="AE122" s="5"/>
      <c r="AY122" s="5"/>
      <c r="AZ122" s="5"/>
      <c r="BA122" s="5"/>
      <c r="BB122" s="5"/>
      <c r="BC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</row>
    <row r="123" spans="21:230" ht="12.75">
      <c r="U123" s="5"/>
      <c r="V123" s="5"/>
      <c r="W123" s="5"/>
      <c r="X123" s="5"/>
      <c r="Y123" s="5"/>
      <c r="AA123" s="5"/>
      <c r="AB123" s="5"/>
      <c r="AC123" s="5"/>
      <c r="AD123" s="5"/>
      <c r="AE123" s="5"/>
      <c r="AY123" s="5"/>
      <c r="AZ123" s="5"/>
      <c r="BA123" s="5"/>
      <c r="BB123" s="5"/>
      <c r="BC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</row>
    <row r="124" spans="21:230" ht="12.75">
      <c r="U124" s="5"/>
      <c r="V124" s="5"/>
      <c r="W124" s="5"/>
      <c r="X124" s="5"/>
      <c r="Y124" s="5"/>
      <c r="AA124" s="5"/>
      <c r="AB124" s="5"/>
      <c r="AC124" s="5"/>
      <c r="AD124" s="5"/>
      <c r="AE124" s="5"/>
      <c r="AY124" s="5"/>
      <c r="AZ124" s="5"/>
      <c r="BA124" s="5"/>
      <c r="BB124" s="5"/>
      <c r="BC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</row>
    <row r="125" spans="21:230" ht="12.75">
      <c r="U125" s="5"/>
      <c r="V125" s="5"/>
      <c r="W125" s="5"/>
      <c r="X125" s="5"/>
      <c r="Y125" s="5"/>
      <c r="AA125" s="5"/>
      <c r="AB125" s="5"/>
      <c r="AC125" s="5"/>
      <c r="AD125" s="5"/>
      <c r="AE125" s="5"/>
      <c r="AY125" s="5"/>
      <c r="AZ125" s="5"/>
      <c r="BA125" s="5"/>
      <c r="BB125" s="5"/>
      <c r="BC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</row>
    <row r="126" spans="21:230" ht="12.75">
      <c r="U126" s="5"/>
      <c r="V126" s="5"/>
      <c r="W126" s="5"/>
      <c r="X126" s="5"/>
      <c r="Y126" s="5"/>
      <c r="AA126" s="5"/>
      <c r="AB126" s="5"/>
      <c r="AC126" s="5"/>
      <c r="AD126" s="5"/>
      <c r="AE126" s="5"/>
      <c r="AY126" s="5"/>
      <c r="AZ126" s="5"/>
      <c r="BA126" s="5"/>
      <c r="BB126" s="5"/>
      <c r="BC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</row>
    <row r="127" spans="21:230" ht="12.75">
      <c r="U127" s="5"/>
      <c r="V127" s="5"/>
      <c r="W127" s="5"/>
      <c r="X127" s="5"/>
      <c r="Y127" s="5"/>
      <c r="AA127" s="5"/>
      <c r="AB127" s="5"/>
      <c r="AC127" s="5"/>
      <c r="AD127" s="5"/>
      <c r="AE127" s="5"/>
      <c r="AY127" s="5"/>
      <c r="AZ127" s="5"/>
      <c r="BA127" s="5"/>
      <c r="BB127" s="5"/>
      <c r="BC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</row>
    <row r="128" spans="21:230" ht="12.75">
      <c r="U128" s="5"/>
      <c r="V128" s="5"/>
      <c r="W128" s="5"/>
      <c r="X128" s="5"/>
      <c r="Y128" s="5"/>
      <c r="AA128" s="5"/>
      <c r="AB128" s="5"/>
      <c r="AC128" s="5"/>
      <c r="AD128" s="5"/>
      <c r="AE128" s="5"/>
      <c r="AY128" s="5"/>
      <c r="AZ128" s="5"/>
      <c r="BA128" s="5"/>
      <c r="BB128" s="5"/>
      <c r="BC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</row>
    <row r="129" spans="21:230" ht="12.75">
      <c r="U129" s="5"/>
      <c r="V129" s="5"/>
      <c r="W129" s="5"/>
      <c r="X129" s="5"/>
      <c r="Y129" s="5"/>
      <c r="AA129" s="5"/>
      <c r="AB129" s="5"/>
      <c r="AC129" s="5"/>
      <c r="AD129" s="5"/>
      <c r="AE129" s="5"/>
      <c r="AY129" s="5"/>
      <c r="AZ129" s="5"/>
      <c r="BA129" s="5"/>
      <c r="BB129" s="5"/>
      <c r="BC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</row>
    <row r="130" spans="21:230" ht="12.75">
      <c r="U130" s="5"/>
      <c r="V130" s="5"/>
      <c r="W130" s="5"/>
      <c r="X130" s="5"/>
      <c r="Y130" s="5"/>
      <c r="AA130" s="5"/>
      <c r="AB130" s="5"/>
      <c r="AC130" s="5"/>
      <c r="AD130" s="5"/>
      <c r="AE130" s="5"/>
      <c r="AY130" s="5"/>
      <c r="AZ130" s="5"/>
      <c r="BA130" s="5"/>
      <c r="BB130" s="5"/>
      <c r="BC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</row>
    <row r="131" spans="21:230" ht="12.75">
      <c r="U131" s="5"/>
      <c r="V131" s="5"/>
      <c r="W131" s="5"/>
      <c r="X131" s="5"/>
      <c r="Y131" s="5"/>
      <c r="AA131" s="5"/>
      <c r="AB131" s="5"/>
      <c r="AC131" s="5"/>
      <c r="AD131" s="5"/>
      <c r="AE131" s="5"/>
      <c r="AY131" s="5"/>
      <c r="AZ131" s="5"/>
      <c r="BA131" s="5"/>
      <c r="BB131" s="5"/>
      <c r="BC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</row>
    <row r="132" spans="21:230" ht="12.75">
      <c r="U132" s="5"/>
      <c r="V132" s="5"/>
      <c r="W132" s="5"/>
      <c r="X132" s="5"/>
      <c r="Y132" s="5"/>
      <c r="AA132" s="5"/>
      <c r="AB132" s="5"/>
      <c r="AC132" s="5"/>
      <c r="AD132" s="5"/>
      <c r="AE132" s="5"/>
      <c r="AY132" s="5"/>
      <c r="AZ132" s="5"/>
      <c r="BA132" s="5"/>
      <c r="BB132" s="5"/>
      <c r="BC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</row>
    <row r="133" spans="21:230" ht="12.75">
      <c r="U133" s="5"/>
      <c r="V133" s="5"/>
      <c r="W133" s="5"/>
      <c r="X133" s="5"/>
      <c r="Y133" s="5"/>
      <c r="AA133" s="5"/>
      <c r="AB133" s="5"/>
      <c r="AC133" s="5"/>
      <c r="AD133" s="5"/>
      <c r="AE133" s="5"/>
      <c r="AY133" s="5"/>
      <c r="AZ133" s="5"/>
      <c r="BA133" s="5"/>
      <c r="BB133" s="5"/>
      <c r="BC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</row>
    <row r="134" spans="21:230" ht="12.75">
      <c r="U134" s="5"/>
      <c r="V134" s="5"/>
      <c r="W134" s="5"/>
      <c r="X134" s="5"/>
      <c r="Y134" s="5"/>
      <c r="AA134" s="5"/>
      <c r="AB134" s="5"/>
      <c r="AC134" s="5"/>
      <c r="AD134" s="5"/>
      <c r="AE134" s="5"/>
      <c r="AY134" s="5"/>
      <c r="AZ134" s="5"/>
      <c r="BA134" s="5"/>
      <c r="BB134" s="5"/>
      <c r="BC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</row>
    <row r="135" spans="21:230" ht="12.75">
      <c r="U135" s="5"/>
      <c r="V135" s="5"/>
      <c r="W135" s="5"/>
      <c r="X135" s="5"/>
      <c r="Y135" s="5"/>
      <c r="AA135" s="5"/>
      <c r="AB135" s="5"/>
      <c r="AC135" s="5"/>
      <c r="AD135" s="5"/>
      <c r="AE135" s="5"/>
      <c r="AY135" s="5"/>
      <c r="AZ135" s="5"/>
      <c r="BA135" s="5"/>
      <c r="BB135" s="5"/>
      <c r="BC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</row>
    <row r="136" spans="21:230" ht="12.75">
      <c r="U136" s="5"/>
      <c r="V136" s="5"/>
      <c r="W136" s="5"/>
      <c r="X136" s="5"/>
      <c r="Y136" s="5"/>
      <c r="AA136" s="5"/>
      <c r="AB136" s="5"/>
      <c r="AC136" s="5"/>
      <c r="AD136" s="5"/>
      <c r="AE136" s="5"/>
      <c r="AY136" s="5"/>
      <c r="AZ136" s="5"/>
      <c r="BA136" s="5"/>
      <c r="BB136" s="5"/>
      <c r="BC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</row>
    <row r="137" spans="21:230" ht="12.75">
      <c r="U137" s="5"/>
      <c r="V137" s="5"/>
      <c r="W137" s="5"/>
      <c r="X137" s="5"/>
      <c r="Y137" s="5"/>
      <c r="AA137" s="5"/>
      <c r="AB137" s="5"/>
      <c r="AC137" s="5"/>
      <c r="AD137" s="5"/>
      <c r="AE137" s="5"/>
      <c r="AY137" s="5"/>
      <c r="AZ137" s="5"/>
      <c r="BA137" s="5"/>
      <c r="BB137" s="5"/>
      <c r="BC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</row>
    <row r="138" spans="21:230" ht="12.75">
      <c r="U138" s="5"/>
      <c r="V138" s="5"/>
      <c r="W138" s="5"/>
      <c r="X138" s="5"/>
      <c r="Y138" s="5"/>
      <c r="AA138" s="5"/>
      <c r="AB138" s="5"/>
      <c r="AC138" s="5"/>
      <c r="AD138" s="5"/>
      <c r="AE138" s="5"/>
      <c r="AY138" s="5"/>
      <c r="AZ138" s="5"/>
      <c r="BA138" s="5"/>
      <c r="BB138" s="5"/>
      <c r="BC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</row>
    <row r="139" spans="21:230" ht="12.75">
      <c r="U139" s="5"/>
      <c r="V139" s="5"/>
      <c r="W139" s="5"/>
      <c r="X139" s="5"/>
      <c r="Y139" s="5"/>
      <c r="AA139" s="5"/>
      <c r="AB139" s="5"/>
      <c r="AC139" s="5"/>
      <c r="AD139" s="5"/>
      <c r="AE139" s="5"/>
      <c r="AY139" s="5"/>
      <c r="AZ139" s="5"/>
      <c r="BA139" s="5"/>
      <c r="BB139" s="5"/>
      <c r="BC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</row>
    <row r="140" spans="21:230" ht="12.75">
      <c r="U140" s="5"/>
      <c r="V140" s="5"/>
      <c r="W140" s="5"/>
      <c r="X140" s="5"/>
      <c r="Y140" s="5"/>
      <c r="AA140" s="5"/>
      <c r="AB140" s="5"/>
      <c r="AC140" s="5"/>
      <c r="AD140" s="5"/>
      <c r="AE140" s="5"/>
      <c r="AY140" s="5"/>
      <c r="AZ140" s="5"/>
      <c r="BA140" s="5"/>
      <c r="BB140" s="5"/>
      <c r="BC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</row>
    <row r="141" spans="21:230" ht="12.75">
      <c r="U141" s="5"/>
      <c r="V141" s="5"/>
      <c r="W141" s="5"/>
      <c r="X141" s="5"/>
      <c r="Y141" s="5"/>
      <c r="AA141" s="5"/>
      <c r="AB141" s="5"/>
      <c r="AC141" s="5"/>
      <c r="AD141" s="5"/>
      <c r="AE141" s="5"/>
      <c r="AY141" s="5"/>
      <c r="AZ141" s="5"/>
      <c r="BA141" s="5"/>
      <c r="BB141" s="5"/>
      <c r="BC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</row>
    <row r="142" spans="21:230" ht="12.75">
      <c r="U142" s="5"/>
      <c r="V142" s="5"/>
      <c r="W142" s="5"/>
      <c r="X142" s="5"/>
      <c r="Y142" s="5"/>
      <c r="AA142" s="5"/>
      <c r="AB142" s="5"/>
      <c r="AC142" s="5"/>
      <c r="AD142" s="5"/>
      <c r="AE142" s="5"/>
      <c r="AY142" s="5"/>
      <c r="AZ142" s="5"/>
      <c r="BA142" s="5"/>
      <c r="BB142" s="5"/>
      <c r="BC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</row>
    <row r="143" spans="21:230" ht="12.75">
      <c r="U143" s="5"/>
      <c r="V143" s="5"/>
      <c r="W143" s="5"/>
      <c r="X143" s="5"/>
      <c r="Y143" s="5"/>
      <c r="AA143" s="5"/>
      <c r="AB143" s="5"/>
      <c r="AC143" s="5"/>
      <c r="AD143" s="5"/>
      <c r="AE143" s="5"/>
      <c r="AY143" s="5"/>
      <c r="AZ143" s="5"/>
      <c r="BA143" s="5"/>
      <c r="BB143" s="5"/>
      <c r="BC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</row>
    <row r="144" spans="21:230" ht="12.75">
      <c r="U144" s="5"/>
      <c r="V144" s="5"/>
      <c r="W144" s="5"/>
      <c r="X144" s="5"/>
      <c r="Y144" s="5"/>
      <c r="AA144" s="5"/>
      <c r="AB144" s="5"/>
      <c r="AC144" s="5"/>
      <c r="AD144" s="5"/>
      <c r="AE144" s="5"/>
      <c r="AY144" s="5"/>
      <c r="AZ144" s="5"/>
      <c r="BA144" s="5"/>
      <c r="BB144" s="5"/>
      <c r="BC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</row>
    <row r="145" spans="21:230" ht="12.75">
      <c r="U145" s="5"/>
      <c r="V145" s="5"/>
      <c r="W145" s="5"/>
      <c r="X145" s="5"/>
      <c r="Y145" s="5"/>
      <c r="AA145" s="5"/>
      <c r="AB145" s="5"/>
      <c r="AC145" s="5"/>
      <c r="AD145" s="5"/>
      <c r="AE145" s="5"/>
      <c r="AY145" s="5"/>
      <c r="AZ145" s="5"/>
      <c r="BA145" s="5"/>
      <c r="BB145" s="5"/>
      <c r="BC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</row>
    <row r="146" spans="21:230" ht="12.75">
      <c r="U146" s="5"/>
      <c r="V146" s="5"/>
      <c r="W146" s="5"/>
      <c r="X146" s="5"/>
      <c r="Y146" s="5"/>
      <c r="AA146" s="5"/>
      <c r="AB146" s="5"/>
      <c r="AC146" s="5"/>
      <c r="AD146" s="5"/>
      <c r="AE146" s="5"/>
      <c r="AY146" s="5"/>
      <c r="AZ146" s="5"/>
      <c r="BA146" s="5"/>
      <c r="BB146" s="5"/>
      <c r="BC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</row>
    <row r="147" spans="21:230" ht="12.75">
      <c r="U147" s="5"/>
      <c r="V147" s="5"/>
      <c r="W147" s="5"/>
      <c r="X147" s="5"/>
      <c r="Y147" s="5"/>
      <c r="AA147" s="5"/>
      <c r="AB147" s="5"/>
      <c r="AC147" s="5"/>
      <c r="AD147" s="5"/>
      <c r="AE147" s="5"/>
      <c r="AY147" s="5"/>
      <c r="AZ147" s="5"/>
      <c r="BA147" s="5"/>
      <c r="BB147" s="5"/>
      <c r="BC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</row>
    <row r="148" spans="21:230" ht="12.75">
      <c r="U148" s="5"/>
      <c r="V148" s="5"/>
      <c r="W148" s="5"/>
      <c r="X148" s="5"/>
      <c r="Y148" s="5"/>
      <c r="AA148" s="5"/>
      <c r="AB148" s="5"/>
      <c r="AC148" s="5"/>
      <c r="AD148" s="5"/>
      <c r="AE148" s="5"/>
      <c r="AY148" s="5"/>
      <c r="AZ148" s="5"/>
      <c r="BA148" s="5"/>
      <c r="BB148" s="5"/>
      <c r="BC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</row>
    <row r="149" spans="21:230" ht="12.75">
      <c r="U149" s="5"/>
      <c r="V149" s="5"/>
      <c r="W149" s="5"/>
      <c r="X149" s="5"/>
      <c r="Y149" s="5"/>
      <c r="AA149" s="5"/>
      <c r="AB149" s="5"/>
      <c r="AC149" s="5"/>
      <c r="AD149" s="5"/>
      <c r="AE149" s="5"/>
      <c r="AY149" s="5"/>
      <c r="AZ149" s="5"/>
      <c r="BA149" s="5"/>
      <c r="BB149" s="5"/>
      <c r="BC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</row>
    <row r="150" spans="21:230" ht="12.75">
      <c r="U150" s="5"/>
      <c r="V150" s="5"/>
      <c r="W150" s="5"/>
      <c r="X150" s="5"/>
      <c r="Y150" s="5"/>
      <c r="AA150" s="5"/>
      <c r="AB150" s="5"/>
      <c r="AC150" s="5"/>
      <c r="AD150" s="5"/>
      <c r="AE150" s="5"/>
      <c r="AY150" s="5"/>
      <c r="AZ150" s="5"/>
      <c r="BA150" s="5"/>
      <c r="BB150" s="5"/>
      <c r="BC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</row>
    <row r="151" spans="21:230" ht="12.75">
      <c r="U151" s="5"/>
      <c r="V151" s="5"/>
      <c r="W151" s="5"/>
      <c r="X151" s="5"/>
      <c r="Y151" s="5"/>
      <c r="AA151" s="5"/>
      <c r="AB151" s="5"/>
      <c r="AC151" s="5"/>
      <c r="AD151" s="5"/>
      <c r="AE151" s="5"/>
      <c r="AY151" s="5"/>
      <c r="AZ151" s="5"/>
      <c r="BA151" s="5"/>
      <c r="BB151" s="5"/>
      <c r="BC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</row>
    <row r="152" spans="21:230" ht="12.75">
      <c r="U152" s="5"/>
      <c r="V152" s="5"/>
      <c r="W152" s="5"/>
      <c r="X152" s="5"/>
      <c r="Y152" s="5"/>
      <c r="AA152" s="5"/>
      <c r="AB152" s="5"/>
      <c r="AC152" s="5"/>
      <c r="AD152" s="5"/>
      <c r="AE152" s="5"/>
      <c r="AY152" s="5"/>
      <c r="AZ152" s="5"/>
      <c r="BA152" s="5"/>
      <c r="BB152" s="5"/>
      <c r="BC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</row>
    <row r="153" spans="21:230" ht="12.75">
      <c r="U153" s="5"/>
      <c r="V153" s="5"/>
      <c r="W153" s="5"/>
      <c r="X153" s="5"/>
      <c r="Y153" s="5"/>
      <c r="AA153" s="5"/>
      <c r="AB153" s="5"/>
      <c r="AC153" s="5"/>
      <c r="AD153" s="5"/>
      <c r="AE153" s="5"/>
      <c r="AY153" s="5"/>
      <c r="AZ153" s="5"/>
      <c r="BA153" s="5"/>
      <c r="BB153" s="5"/>
      <c r="BC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</row>
    <row r="154" spans="21:230" ht="12.75">
      <c r="U154" s="5"/>
      <c r="V154" s="5"/>
      <c r="W154" s="5"/>
      <c r="X154" s="5"/>
      <c r="Y154" s="5"/>
      <c r="AA154" s="5"/>
      <c r="AB154" s="5"/>
      <c r="AC154" s="5"/>
      <c r="AD154" s="5"/>
      <c r="AE154" s="5"/>
      <c r="AY154" s="5"/>
      <c r="AZ154" s="5"/>
      <c r="BA154" s="5"/>
      <c r="BB154" s="5"/>
      <c r="BC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</row>
    <row r="155" spans="21:230" ht="12.75">
      <c r="U155" s="5"/>
      <c r="V155" s="5"/>
      <c r="W155" s="5"/>
      <c r="X155" s="5"/>
      <c r="Y155" s="5"/>
      <c r="AA155" s="5"/>
      <c r="AB155" s="5"/>
      <c r="AC155" s="5"/>
      <c r="AD155" s="5"/>
      <c r="AE155" s="5"/>
      <c r="AY155" s="5"/>
      <c r="AZ155" s="5"/>
      <c r="BA155" s="5"/>
      <c r="BB155" s="5"/>
      <c r="BC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</row>
    <row r="156" spans="21:230" ht="12.75">
      <c r="U156" s="5"/>
      <c r="V156" s="5"/>
      <c r="W156" s="5"/>
      <c r="X156" s="5"/>
      <c r="Y156" s="5"/>
      <c r="AA156" s="5"/>
      <c r="AB156" s="5"/>
      <c r="AC156" s="5"/>
      <c r="AD156" s="5"/>
      <c r="AE156" s="5"/>
      <c r="AY156" s="5"/>
      <c r="AZ156" s="5"/>
      <c r="BA156" s="5"/>
      <c r="BB156" s="5"/>
      <c r="BC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</row>
    <row r="157" spans="21:230" ht="12.75">
      <c r="U157" s="5"/>
      <c r="V157" s="5"/>
      <c r="W157" s="5"/>
      <c r="X157" s="5"/>
      <c r="Y157" s="5"/>
      <c r="AA157" s="5"/>
      <c r="AB157" s="5"/>
      <c r="AC157" s="5"/>
      <c r="AD157" s="5"/>
      <c r="AE157" s="5"/>
      <c r="AY157" s="5"/>
      <c r="AZ157" s="5"/>
      <c r="BA157" s="5"/>
      <c r="BB157" s="5"/>
      <c r="BC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</row>
    <row r="158" spans="21:230" ht="12.75">
      <c r="U158" s="5"/>
      <c r="V158" s="5"/>
      <c r="W158" s="5"/>
      <c r="X158" s="5"/>
      <c r="Y158" s="5"/>
      <c r="AA158" s="5"/>
      <c r="AB158" s="5"/>
      <c r="AC158" s="5"/>
      <c r="AD158" s="5"/>
      <c r="AE158" s="5"/>
      <c r="AY158" s="5"/>
      <c r="AZ158" s="5"/>
      <c r="BA158" s="5"/>
      <c r="BB158" s="5"/>
      <c r="BC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</row>
    <row r="159" spans="21:230" ht="12.75">
      <c r="U159" s="5"/>
      <c r="V159" s="5"/>
      <c r="W159" s="5"/>
      <c r="X159" s="5"/>
      <c r="Y159" s="5"/>
      <c r="AA159" s="5"/>
      <c r="AB159" s="5"/>
      <c r="AC159" s="5"/>
      <c r="AD159" s="5"/>
      <c r="AE159" s="5"/>
      <c r="AY159" s="5"/>
      <c r="AZ159" s="5"/>
      <c r="BA159" s="5"/>
      <c r="BB159" s="5"/>
      <c r="BC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</row>
    <row r="160" spans="21:230" ht="12.75">
      <c r="U160" s="5"/>
      <c r="V160" s="5"/>
      <c r="W160" s="5"/>
      <c r="X160" s="5"/>
      <c r="Y160" s="5"/>
      <c r="AA160" s="5"/>
      <c r="AB160" s="5"/>
      <c r="AC160" s="5"/>
      <c r="AD160" s="5"/>
      <c r="AE160" s="5"/>
      <c r="AY160" s="5"/>
      <c r="AZ160" s="5"/>
      <c r="BA160" s="5"/>
      <c r="BB160" s="5"/>
      <c r="BC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</row>
    <row r="161" spans="21:230" ht="12.75">
      <c r="U161" s="5"/>
      <c r="V161" s="5"/>
      <c r="W161" s="5"/>
      <c r="X161" s="5"/>
      <c r="Y161" s="5"/>
      <c r="AA161" s="5"/>
      <c r="AB161" s="5"/>
      <c r="AC161" s="5"/>
      <c r="AD161" s="5"/>
      <c r="AE161" s="5"/>
      <c r="AY161" s="5"/>
      <c r="AZ161" s="5"/>
      <c r="BA161" s="5"/>
      <c r="BB161" s="5"/>
      <c r="BC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</row>
    <row r="162" spans="21:230" ht="12.75">
      <c r="U162" s="5"/>
      <c r="V162" s="5"/>
      <c r="W162" s="5"/>
      <c r="X162" s="5"/>
      <c r="Y162" s="5"/>
      <c r="AA162" s="5"/>
      <c r="AB162" s="5"/>
      <c r="AC162" s="5"/>
      <c r="AD162" s="5"/>
      <c r="AE162" s="5"/>
      <c r="AY162" s="5"/>
      <c r="AZ162" s="5"/>
      <c r="BA162" s="5"/>
      <c r="BB162" s="5"/>
      <c r="BC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</row>
    <row r="163" spans="21:230" ht="12.75">
      <c r="U163" s="5"/>
      <c r="V163" s="5"/>
      <c r="W163" s="5"/>
      <c r="X163" s="5"/>
      <c r="Y163" s="5"/>
      <c r="AA163" s="5"/>
      <c r="AB163" s="5"/>
      <c r="AC163" s="5"/>
      <c r="AD163" s="5"/>
      <c r="AE163" s="5"/>
      <c r="AY163" s="5"/>
      <c r="AZ163" s="5"/>
      <c r="BA163" s="5"/>
      <c r="BB163" s="5"/>
      <c r="BC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</row>
    <row r="164" spans="21:230" ht="12.75">
      <c r="U164" s="5"/>
      <c r="V164" s="5"/>
      <c r="W164" s="5"/>
      <c r="X164" s="5"/>
      <c r="Y164" s="5"/>
      <c r="AA164" s="5"/>
      <c r="AB164" s="5"/>
      <c r="AC164" s="5"/>
      <c r="AD164" s="5"/>
      <c r="AE164" s="5"/>
      <c r="AY164" s="5"/>
      <c r="AZ164" s="5"/>
      <c r="BA164" s="5"/>
      <c r="BB164" s="5"/>
      <c r="BC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</row>
    <row r="165" spans="21:230" ht="12.75">
      <c r="U165" s="5"/>
      <c r="V165" s="5"/>
      <c r="W165" s="5"/>
      <c r="X165" s="5"/>
      <c r="Y165" s="5"/>
      <c r="AA165" s="5"/>
      <c r="AB165" s="5"/>
      <c r="AC165" s="5"/>
      <c r="AD165" s="5"/>
      <c r="AE165" s="5"/>
      <c r="AY165" s="5"/>
      <c r="AZ165" s="5"/>
      <c r="BA165" s="5"/>
      <c r="BB165" s="5"/>
      <c r="BC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</row>
    <row r="166" spans="21:230" ht="12.75">
      <c r="U166" s="5"/>
      <c r="V166" s="5"/>
      <c r="W166" s="5"/>
      <c r="X166" s="5"/>
      <c r="Y166" s="5"/>
      <c r="AA166" s="5"/>
      <c r="AB166" s="5"/>
      <c r="AC166" s="5"/>
      <c r="AD166" s="5"/>
      <c r="AE166" s="5"/>
      <c r="AY166" s="5"/>
      <c r="AZ166" s="5"/>
      <c r="BA166" s="5"/>
      <c r="BB166" s="5"/>
      <c r="BC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</row>
    <row r="167" spans="21:230" ht="12.75">
      <c r="U167" s="5"/>
      <c r="V167" s="5"/>
      <c r="W167" s="5"/>
      <c r="X167" s="5"/>
      <c r="Y167" s="5"/>
      <c r="AA167" s="5"/>
      <c r="AB167" s="5"/>
      <c r="AC167" s="5"/>
      <c r="AD167" s="5"/>
      <c r="AE167" s="5"/>
      <c r="AY167" s="5"/>
      <c r="AZ167" s="5"/>
      <c r="BA167" s="5"/>
      <c r="BB167" s="5"/>
      <c r="BC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</row>
    <row r="168" spans="21:230" ht="12.75">
      <c r="U168" s="5"/>
      <c r="V168" s="5"/>
      <c r="W168" s="5"/>
      <c r="X168" s="5"/>
      <c r="Y168" s="5"/>
      <c r="AA168" s="5"/>
      <c r="AB168" s="5"/>
      <c r="AC168" s="5"/>
      <c r="AD168" s="5"/>
      <c r="AE168" s="5"/>
      <c r="AY168" s="5"/>
      <c r="AZ168" s="5"/>
      <c r="BA168" s="5"/>
      <c r="BB168" s="5"/>
      <c r="BC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</row>
    <row r="169" spans="21:230" ht="12.75">
      <c r="U169" s="5"/>
      <c r="V169" s="5"/>
      <c r="W169" s="5"/>
      <c r="X169" s="5"/>
      <c r="Y169" s="5"/>
      <c r="AA169" s="5"/>
      <c r="AB169" s="5"/>
      <c r="AC169" s="5"/>
      <c r="AD169" s="5"/>
      <c r="AE169" s="5"/>
      <c r="AY169" s="5"/>
      <c r="AZ169" s="5"/>
      <c r="BA169" s="5"/>
      <c r="BB169" s="5"/>
      <c r="BC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</row>
    <row r="170" spans="21:230" ht="12.75">
      <c r="U170" s="5"/>
      <c r="V170" s="5"/>
      <c r="W170" s="5"/>
      <c r="X170" s="5"/>
      <c r="Y170" s="5"/>
      <c r="AA170" s="5"/>
      <c r="AB170" s="5"/>
      <c r="AC170" s="5"/>
      <c r="AD170" s="5"/>
      <c r="AE170" s="5"/>
      <c r="AY170" s="5"/>
      <c r="AZ170" s="5"/>
      <c r="BA170" s="5"/>
      <c r="BB170" s="5"/>
      <c r="BC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</row>
    <row r="171" spans="21:230" ht="12.75">
      <c r="U171" s="5"/>
      <c r="V171" s="5"/>
      <c r="W171" s="5"/>
      <c r="X171" s="5"/>
      <c r="Y171" s="5"/>
      <c r="AA171" s="5"/>
      <c r="AB171" s="5"/>
      <c r="AC171" s="5"/>
      <c r="AD171" s="5"/>
      <c r="AE171" s="5"/>
      <c r="AY171" s="5"/>
      <c r="AZ171" s="5"/>
      <c r="BA171" s="5"/>
      <c r="BB171" s="5"/>
      <c r="BC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</row>
    <row r="172" spans="21:230" ht="12.75">
      <c r="U172" s="5"/>
      <c r="V172" s="5"/>
      <c r="W172" s="5"/>
      <c r="X172" s="5"/>
      <c r="Y172" s="5"/>
      <c r="AA172" s="5"/>
      <c r="AB172" s="5"/>
      <c r="AC172" s="5"/>
      <c r="AD172" s="5"/>
      <c r="AE172" s="5"/>
      <c r="AY172" s="5"/>
      <c r="AZ172" s="5"/>
      <c r="BA172" s="5"/>
      <c r="BB172" s="5"/>
      <c r="BC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</row>
    <row r="173" spans="21:230" ht="12.75">
      <c r="U173" s="5"/>
      <c r="V173" s="5"/>
      <c r="W173" s="5"/>
      <c r="X173" s="5"/>
      <c r="Y173" s="5"/>
      <c r="AA173" s="5"/>
      <c r="AB173" s="5"/>
      <c r="AC173" s="5"/>
      <c r="AD173" s="5"/>
      <c r="AE173" s="5"/>
      <c r="AY173" s="5"/>
      <c r="AZ173" s="5"/>
      <c r="BA173" s="5"/>
      <c r="BB173" s="5"/>
      <c r="BC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</row>
    <row r="174" spans="21:230" ht="12.75">
      <c r="U174" s="5"/>
      <c r="V174" s="5"/>
      <c r="W174" s="5"/>
      <c r="X174" s="5"/>
      <c r="Y174" s="5"/>
      <c r="AA174" s="5"/>
      <c r="AB174" s="5"/>
      <c r="AC174" s="5"/>
      <c r="AD174" s="5"/>
      <c r="AE174" s="5"/>
      <c r="AY174" s="5"/>
      <c r="AZ174" s="5"/>
      <c r="BA174" s="5"/>
      <c r="BB174" s="5"/>
      <c r="BC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</row>
    <row r="175" spans="21:230" ht="12.75">
      <c r="U175" s="5"/>
      <c r="V175" s="5"/>
      <c r="W175" s="5"/>
      <c r="X175" s="5"/>
      <c r="Y175" s="5"/>
      <c r="AA175" s="5"/>
      <c r="AB175" s="5"/>
      <c r="AC175" s="5"/>
      <c r="AD175" s="5"/>
      <c r="AE175" s="5"/>
      <c r="AY175" s="5"/>
      <c r="AZ175" s="5"/>
      <c r="BA175" s="5"/>
      <c r="BB175" s="5"/>
      <c r="BC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</row>
    <row r="176" spans="21:230" ht="12.75">
      <c r="U176" s="5"/>
      <c r="V176" s="5"/>
      <c r="W176" s="5"/>
      <c r="X176" s="5"/>
      <c r="Y176" s="5"/>
      <c r="AA176" s="5"/>
      <c r="AB176" s="5"/>
      <c r="AC176" s="5"/>
      <c r="AD176" s="5"/>
      <c r="AE176" s="5"/>
      <c r="AY176" s="5"/>
      <c r="AZ176" s="5"/>
      <c r="BA176" s="5"/>
      <c r="BB176" s="5"/>
      <c r="BC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</row>
    <row r="177" spans="21:230" ht="12.75">
      <c r="U177" s="5"/>
      <c r="V177" s="5"/>
      <c r="W177" s="5"/>
      <c r="X177" s="5"/>
      <c r="Y177" s="5"/>
      <c r="AA177" s="5"/>
      <c r="AB177" s="5"/>
      <c r="AC177" s="5"/>
      <c r="AD177" s="5"/>
      <c r="AE177" s="5"/>
      <c r="AY177" s="5"/>
      <c r="AZ177" s="5"/>
      <c r="BA177" s="5"/>
      <c r="BB177" s="5"/>
      <c r="BC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</row>
    <row r="178" spans="21:230" ht="12.75">
      <c r="U178" s="5"/>
      <c r="V178" s="5"/>
      <c r="W178" s="5"/>
      <c r="X178" s="5"/>
      <c r="Y178" s="5"/>
      <c r="AA178" s="5"/>
      <c r="AB178" s="5"/>
      <c r="AC178" s="5"/>
      <c r="AD178" s="5"/>
      <c r="AE178" s="5"/>
      <c r="AY178" s="5"/>
      <c r="AZ178" s="5"/>
      <c r="BA178" s="5"/>
      <c r="BB178" s="5"/>
      <c r="BC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</row>
    <row r="179" spans="21:230" ht="12.75">
      <c r="U179" s="5"/>
      <c r="V179" s="5"/>
      <c r="W179" s="5"/>
      <c r="X179" s="5"/>
      <c r="Y179" s="5"/>
      <c r="AA179" s="5"/>
      <c r="AB179" s="5"/>
      <c r="AC179" s="5"/>
      <c r="AD179" s="5"/>
      <c r="AE179" s="5"/>
      <c r="AY179" s="5"/>
      <c r="AZ179" s="5"/>
      <c r="BA179" s="5"/>
      <c r="BB179" s="5"/>
      <c r="BC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</row>
    <row r="180" spans="21:230" ht="12.75">
      <c r="U180" s="5"/>
      <c r="V180" s="5"/>
      <c r="W180" s="5"/>
      <c r="X180" s="5"/>
      <c r="Y180" s="5"/>
      <c r="AA180" s="5"/>
      <c r="AB180" s="5"/>
      <c r="AC180" s="5"/>
      <c r="AD180" s="5"/>
      <c r="AE180" s="5"/>
      <c r="AY180" s="5"/>
      <c r="AZ180" s="5"/>
      <c r="BA180" s="5"/>
      <c r="BB180" s="5"/>
      <c r="BC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</row>
    <row r="181" spans="21:230" ht="12.75">
      <c r="U181" s="5"/>
      <c r="V181" s="5"/>
      <c r="W181" s="5"/>
      <c r="X181" s="5"/>
      <c r="Y181" s="5"/>
      <c r="AA181" s="5"/>
      <c r="AB181" s="5"/>
      <c r="AC181" s="5"/>
      <c r="AD181" s="5"/>
      <c r="AE181" s="5"/>
      <c r="AY181" s="5"/>
      <c r="AZ181" s="5"/>
      <c r="BA181" s="5"/>
      <c r="BB181" s="5"/>
      <c r="BC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</row>
    <row r="182" spans="21:230" ht="12.75">
      <c r="U182" s="5"/>
      <c r="V182" s="5"/>
      <c r="W182" s="5"/>
      <c r="X182" s="5"/>
      <c r="Y182" s="5"/>
      <c r="AA182" s="5"/>
      <c r="AB182" s="5"/>
      <c r="AC182" s="5"/>
      <c r="AD182" s="5"/>
      <c r="AE182" s="5"/>
      <c r="AY182" s="5"/>
      <c r="AZ182" s="5"/>
      <c r="BA182" s="5"/>
      <c r="BB182" s="5"/>
      <c r="BC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</row>
    <row r="183" spans="21:230" ht="12.75">
      <c r="U183" s="5"/>
      <c r="V183" s="5"/>
      <c r="W183" s="5"/>
      <c r="X183" s="5"/>
      <c r="Y183" s="5"/>
      <c r="AA183" s="5"/>
      <c r="AB183" s="5"/>
      <c r="AC183" s="5"/>
      <c r="AD183" s="5"/>
      <c r="AE183" s="5"/>
      <c r="AY183" s="5"/>
      <c r="AZ183" s="5"/>
      <c r="BA183" s="5"/>
      <c r="BB183" s="5"/>
      <c r="BC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</row>
    <row r="184" spans="21:230" ht="12.75">
      <c r="U184" s="5"/>
      <c r="V184" s="5"/>
      <c r="W184" s="5"/>
      <c r="X184" s="5"/>
      <c r="Y184" s="5"/>
      <c r="AA184" s="5"/>
      <c r="AB184" s="5"/>
      <c r="AC184" s="5"/>
      <c r="AD184" s="5"/>
      <c r="AE184" s="5"/>
      <c r="AY184" s="5"/>
      <c r="AZ184" s="5"/>
      <c r="BA184" s="5"/>
      <c r="BB184" s="5"/>
      <c r="BC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</row>
    <row r="185" spans="21:230" ht="12.75">
      <c r="U185" s="5"/>
      <c r="V185" s="5"/>
      <c r="W185" s="5"/>
      <c r="X185" s="5"/>
      <c r="Y185" s="5"/>
      <c r="AA185" s="5"/>
      <c r="AB185" s="5"/>
      <c r="AC185" s="5"/>
      <c r="AD185" s="5"/>
      <c r="AE185" s="5"/>
      <c r="AY185" s="5"/>
      <c r="AZ185" s="5"/>
      <c r="BA185" s="5"/>
      <c r="BB185" s="5"/>
      <c r="BC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</row>
    <row r="186" spans="21:230" ht="12.75">
      <c r="U186" s="5"/>
      <c r="V186" s="5"/>
      <c r="W186" s="5"/>
      <c r="X186" s="5"/>
      <c r="Y186" s="5"/>
      <c r="AA186" s="5"/>
      <c r="AB186" s="5"/>
      <c r="AC186" s="5"/>
      <c r="AD186" s="5"/>
      <c r="AE186" s="5"/>
      <c r="AY186" s="5"/>
      <c r="AZ186" s="5"/>
      <c r="BA186" s="5"/>
      <c r="BB186" s="5"/>
      <c r="BC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</row>
    <row r="187" spans="21:230" ht="12.75">
      <c r="U187" s="5"/>
      <c r="V187" s="5"/>
      <c r="W187" s="5"/>
      <c r="X187" s="5"/>
      <c r="Y187" s="5"/>
      <c r="AA187" s="5"/>
      <c r="AB187" s="5"/>
      <c r="AC187" s="5"/>
      <c r="AD187" s="5"/>
      <c r="AE187" s="5"/>
      <c r="AY187" s="5"/>
      <c r="AZ187" s="5"/>
      <c r="BA187" s="5"/>
      <c r="BB187" s="5"/>
      <c r="BC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</row>
    <row r="188" spans="21:230" ht="12.75">
      <c r="U188" s="5"/>
      <c r="V188" s="5"/>
      <c r="W188" s="5"/>
      <c r="X188" s="5"/>
      <c r="Y188" s="5"/>
      <c r="AA188" s="5"/>
      <c r="AB188" s="5"/>
      <c r="AC188" s="5"/>
      <c r="AD188" s="5"/>
      <c r="AE188" s="5"/>
      <c r="AY188" s="5"/>
      <c r="AZ188" s="5"/>
      <c r="BA188" s="5"/>
      <c r="BB188" s="5"/>
      <c r="BC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</row>
    <row r="189" spans="21:230" ht="12.75">
      <c r="U189" s="5"/>
      <c r="V189" s="5"/>
      <c r="W189" s="5"/>
      <c r="X189" s="5"/>
      <c r="Y189" s="5"/>
      <c r="AA189" s="5"/>
      <c r="AB189" s="5"/>
      <c r="AC189" s="5"/>
      <c r="AD189" s="5"/>
      <c r="AE189" s="5"/>
      <c r="AY189" s="5"/>
      <c r="AZ189" s="5"/>
      <c r="BA189" s="5"/>
      <c r="BB189" s="5"/>
      <c r="BC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</row>
    <row r="190" spans="21:230" ht="12.75">
      <c r="U190" s="5"/>
      <c r="V190" s="5"/>
      <c r="W190" s="5"/>
      <c r="X190" s="5"/>
      <c r="Y190" s="5"/>
      <c r="AA190" s="5"/>
      <c r="AB190" s="5"/>
      <c r="AC190" s="5"/>
      <c r="AD190" s="5"/>
      <c r="AE190" s="5"/>
      <c r="AY190" s="5"/>
      <c r="AZ190" s="5"/>
      <c r="BA190" s="5"/>
      <c r="BB190" s="5"/>
      <c r="BC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</row>
    <row r="191" spans="21:230" ht="12.75">
      <c r="U191" s="5"/>
      <c r="V191" s="5"/>
      <c r="W191" s="5"/>
      <c r="X191" s="5"/>
      <c r="Y191" s="5"/>
      <c r="AA191" s="5"/>
      <c r="AB191" s="5"/>
      <c r="AC191" s="5"/>
      <c r="AD191" s="5"/>
      <c r="AE191" s="5"/>
      <c r="AY191" s="5"/>
      <c r="AZ191" s="5"/>
      <c r="BA191" s="5"/>
      <c r="BB191" s="5"/>
      <c r="BC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</row>
    <row r="192" spans="21:230" ht="12.75">
      <c r="U192" s="5"/>
      <c r="V192" s="5"/>
      <c r="W192" s="5"/>
      <c r="X192" s="5"/>
      <c r="Y192" s="5"/>
      <c r="AA192" s="5"/>
      <c r="AB192" s="5"/>
      <c r="AC192" s="5"/>
      <c r="AD192" s="5"/>
      <c r="AE192" s="5"/>
      <c r="AY192" s="5"/>
      <c r="AZ192" s="5"/>
      <c r="BA192" s="5"/>
      <c r="BB192" s="5"/>
      <c r="BC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</row>
    <row r="193" spans="21:230" ht="12.75">
      <c r="U193" s="5"/>
      <c r="V193" s="5"/>
      <c r="W193" s="5"/>
      <c r="X193" s="5"/>
      <c r="Y193" s="5"/>
      <c r="AA193" s="5"/>
      <c r="AB193" s="5"/>
      <c r="AC193" s="5"/>
      <c r="AD193" s="5"/>
      <c r="AE193" s="5"/>
      <c r="AY193" s="5"/>
      <c r="AZ193" s="5"/>
      <c r="BA193" s="5"/>
      <c r="BB193" s="5"/>
      <c r="BC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</row>
    <row r="194" spans="21:230" ht="12.75">
      <c r="U194" s="5"/>
      <c r="V194" s="5"/>
      <c r="W194" s="5"/>
      <c r="X194" s="5"/>
      <c r="Y194" s="5"/>
      <c r="AA194" s="5"/>
      <c r="AB194" s="5"/>
      <c r="AC194" s="5"/>
      <c r="AD194" s="5"/>
      <c r="AE194" s="5"/>
      <c r="AY194" s="5"/>
      <c r="AZ194" s="5"/>
      <c r="BA194" s="5"/>
      <c r="BB194" s="5"/>
      <c r="BC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</row>
    <row r="195" spans="21:230" ht="12.75">
      <c r="U195" s="5"/>
      <c r="V195" s="5"/>
      <c r="W195" s="5"/>
      <c r="X195" s="5"/>
      <c r="Y195" s="5"/>
      <c r="AA195" s="5"/>
      <c r="AB195" s="5"/>
      <c r="AC195" s="5"/>
      <c r="AD195" s="5"/>
      <c r="AE195" s="5"/>
      <c r="AY195" s="5"/>
      <c r="AZ195" s="5"/>
      <c r="BA195" s="5"/>
      <c r="BB195" s="5"/>
      <c r="BC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</row>
    <row r="196" spans="21:230" ht="12.75">
      <c r="U196" s="5"/>
      <c r="V196" s="5"/>
      <c r="W196" s="5"/>
      <c r="X196" s="5"/>
      <c r="Y196" s="5"/>
      <c r="AA196" s="5"/>
      <c r="AB196" s="5"/>
      <c r="AC196" s="5"/>
      <c r="AD196" s="5"/>
      <c r="AE196" s="5"/>
      <c r="AY196" s="5"/>
      <c r="AZ196" s="5"/>
      <c r="BA196" s="5"/>
      <c r="BB196" s="5"/>
      <c r="BC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</row>
    <row r="197" spans="21:230" ht="12.75">
      <c r="U197" s="5"/>
      <c r="V197" s="5"/>
      <c r="W197" s="5"/>
      <c r="X197" s="5"/>
      <c r="Y197" s="5"/>
      <c r="AA197" s="5"/>
      <c r="AB197" s="5"/>
      <c r="AC197" s="5"/>
      <c r="AD197" s="5"/>
      <c r="AE197" s="5"/>
      <c r="AY197" s="5"/>
      <c r="AZ197" s="5"/>
      <c r="BA197" s="5"/>
      <c r="BB197" s="5"/>
      <c r="BC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</row>
    <row r="198" spans="21:230" ht="12.75">
      <c r="U198" s="5"/>
      <c r="V198" s="5"/>
      <c r="W198" s="5"/>
      <c r="X198" s="5"/>
      <c r="Y198" s="5"/>
      <c r="AA198" s="5"/>
      <c r="AB198" s="5"/>
      <c r="AC198" s="5"/>
      <c r="AD198" s="5"/>
      <c r="AE198" s="5"/>
      <c r="AY198" s="5"/>
      <c r="AZ198" s="5"/>
      <c r="BA198" s="5"/>
      <c r="BB198" s="5"/>
      <c r="BC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</row>
    <row r="199" spans="21:230" ht="12.75">
      <c r="U199" s="5"/>
      <c r="V199" s="5"/>
      <c r="W199" s="5"/>
      <c r="X199" s="5"/>
      <c r="Y199" s="5"/>
      <c r="AA199" s="5"/>
      <c r="AB199" s="5"/>
      <c r="AC199" s="5"/>
      <c r="AD199" s="5"/>
      <c r="AE199" s="5"/>
      <c r="AY199" s="5"/>
      <c r="AZ199" s="5"/>
      <c r="BA199" s="5"/>
      <c r="BB199" s="5"/>
      <c r="BC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</row>
    <row r="200" spans="21:230" ht="12.75">
      <c r="U200" s="5"/>
      <c r="V200" s="5"/>
      <c r="W200" s="5"/>
      <c r="X200" s="5"/>
      <c r="Y200" s="5"/>
      <c r="AA200" s="5"/>
      <c r="AB200" s="5"/>
      <c r="AC200" s="5"/>
      <c r="AD200" s="5"/>
      <c r="AE200" s="5"/>
      <c r="AY200" s="5"/>
      <c r="AZ200" s="5"/>
      <c r="BA200" s="5"/>
      <c r="BB200" s="5"/>
      <c r="BC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</row>
    <row r="201" spans="21:230" ht="12.75">
      <c r="U201" s="5"/>
      <c r="V201" s="5"/>
      <c r="W201" s="5"/>
      <c r="X201" s="5"/>
      <c r="Y201" s="5"/>
      <c r="AA201" s="5"/>
      <c r="AB201" s="5"/>
      <c r="AC201" s="5"/>
      <c r="AD201" s="5"/>
      <c r="AE201" s="5"/>
      <c r="AY201" s="5"/>
      <c r="AZ201" s="5"/>
      <c r="BA201" s="5"/>
      <c r="BB201" s="5"/>
      <c r="BC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</row>
    <row r="202" spans="21:230" ht="12.75">
      <c r="U202" s="5"/>
      <c r="V202" s="5"/>
      <c r="W202" s="5"/>
      <c r="X202" s="5"/>
      <c r="Y202" s="5"/>
      <c r="AA202" s="5"/>
      <c r="AB202" s="5"/>
      <c r="AC202" s="5"/>
      <c r="AD202" s="5"/>
      <c r="AE202" s="5"/>
      <c r="AY202" s="5"/>
      <c r="AZ202" s="5"/>
      <c r="BA202" s="5"/>
      <c r="BB202" s="5"/>
      <c r="BC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</row>
    <row r="203" spans="21:230" ht="12.75">
      <c r="U203" s="5"/>
      <c r="V203" s="5"/>
      <c r="W203" s="5"/>
      <c r="X203" s="5"/>
      <c r="Y203" s="5"/>
      <c r="AA203" s="5"/>
      <c r="AB203" s="5"/>
      <c r="AC203" s="5"/>
      <c r="AD203" s="5"/>
      <c r="AE203" s="5"/>
      <c r="AY203" s="5"/>
      <c r="AZ203" s="5"/>
      <c r="BA203" s="5"/>
      <c r="BB203" s="5"/>
      <c r="BC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</row>
    <row r="204" spans="21:230" ht="12.75">
      <c r="U204" s="5"/>
      <c r="V204" s="5"/>
      <c r="W204" s="5"/>
      <c r="X204" s="5"/>
      <c r="Y204" s="5"/>
      <c r="AA204" s="5"/>
      <c r="AB204" s="5"/>
      <c r="AC204" s="5"/>
      <c r="AD204" s="5"/>
      <c r="AE204" s="5"/>
      <c r="AY204" s="5"/>
      <c r="AZ204" s="5"/>
      <c r="BA204" s="5"/>
      <c r="BB204" s="5"/>
      <c r="BC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</row>
    <row r="205" spans="21:230" ht="12.75">
      <c r="U205" s="5"/>
      <c r="V205" s="5"/>
      <c r="W205" s="5"/>
      <c r="X205" s="5"/>
      <c r="Y205" s="5"/>
      <c r="AA205" s="5"/>
      <c r="AB205" s="5"/>
      <c r="AC205" s="5"/>
      <c r="AD205" s="5"/>
      <c r="AE205" s="5"/>
      <c r="AY205" s="5"/>
      <c r="AZ205" s="5"/>
      <c r="BA205" s="5"/>
      <c r="BB205" s="5"/>
      <c r="BC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</row>
    <row r="206" spans="21:230" ht="12.75">
      <c r="U206" s="5"/>
      <c r="V206" s="5"/>
      <c r="W206" s="5"/>
      <c r="X206" s="5"/>
      <c r="Y206" s="5"/>
      <c r="AA206" s="5"/>
      <c r="AB206" s="5"/>
      <c r="AC206" s="5"/>
      <c r="AD206" s="5"/>
      <c r="AE206" s="5"/>
      <c r="AY206" s="5"/>
      <c r="AZ206" s="5"/>
      <c r="BA206" s="5"/>
      <c r="BB206" s="5"/>
      <c r="BC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</row>
    <row r="207" spans="21:230" ht="12.75">
      <c r="U207" s="5"/>
      <c r="V207" s="5"/>
      <c r="W207" s="5"/>
      <c r="X207" s="5"/>
      <c r="Y207" s="5"/>
      <c r="AA207" s="5"/>
      <c r="AB207" s="5"/>
      <c r="AC207" s="5"/>
      <c r="AD207" s="5"/>
      <c r="AE207" s="5"/>
      <c r="AY207" s="5"/>
      <c r="AZ207" s="5"/>
      <c r="BA207" s="5"/>
      <c r="BB207" s="5"/>
      <c r="BC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</row>
    <row r="208" spans="21:230" ht="12.75">
      <c r="U208" s="5"/>
      <c r="V208" s="5"/>
      <c r="W208" s="5"/>
      <c r="X208" s="5"/>
      <c r="Y208" s="5"/>
      <c r="AA208" s="5"/>
      <c r="AB208" s="5"/>
      <c r="AC208" s="5"/>
      <c r="AD208" s="5"/>
      <c r="AE208" s="5"/>
      <c r="AY208" s="5"/>
      <c r="AZ208" s="5"/>
      <c r="BA208" s="5"/>
      <c r="BB208" s="5"/>
      <c r="BC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</row>
    <row r="209" spans="21:230" ht="12.75">
      <c r="U209" s="5"/>
      <c r="V209" s="5"/>
      <c r="W209" s="5"/>
      <c r="X209" s="5"/>
      <c r="Y209" s="5"/>
      <c r="AA209" s="5"/>
      <c r="AB209" s="5"/>
      <c r="AC209" s="5"/>
      <c r="AD209" s="5"/>
      <c r="AE209" s="5"/>
      <c r="AY209" s="5"/>
      <c r="AZ209" s="5"/>
      <c r="BA209" s="5"/>
      <c r="BB209" s="5"/>
      <c r="BC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</row>
    <row r="210" spans="21:230" ht="12.75">
      <c r="U210" s="5"/>
      <c r="V210" s="5"/>
      <c r="W210" s="5"/>
      <c r="X210" s="5"/>
      <c r="Y210" s="5"/>
      <c r="AA210" s="5"/>
      <c r="AB210" s="5"/>
      <c r="AC210" s="5"/>
      <c r="AD210" s="5"/>
      <c r="AE210" s="5"/>
      <c r="AY210" s="5"/>
      <c r="AZ210" s="5"/>
      <c r="BA210" s="5"/>
      <c r="BB210" s="5"/>
      <c r="BC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</row>
    <row r="211" spans="21:230" ht="12.75">
      <c r="U211" s="5"/>
      <c r="V211" s="5"/>
      <c r="W211" s="5"/>
      <c r="X211" s="5"/>
      <c r="Y211" s="5"/>
      <c r="AA211" s="5"/>
      <c r="AB211" s="5"/>
      <c r="AC211" s="5"/>
      <c r="AD211" s="5"/>
      <c r="AE211" s="5"/>
      <c r="AY211" s="5"/>
      <c r="AZ211" s="5"/>
      <c r="BA211" s="5"/>
      <c r="BB211" s="5"/>
      <c r="BC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</row>
    <row r="212" spans="21:230" ht="12.75">
      <c r="U212" s="5"/>
      <c r="V212" s="5"/>
      <c r="W212" s="5"/>
      <c r="X212" s="5"/>
      <c r="Y212" s="5"/>
      <c r="AA212" s="5"/>
      <c r="AB212" s="5"/>
      <c r="AC212" s="5"/>
      <c r="AD212" s="5"/>
      <c r="AE212" s="5"/>
      <c r="AY212" s="5"/>
      <c r="AZ212" s="5"/>
      <c r="BA212" s="5"/>
      <c r="BB212" s="5"/>
      <c r="BC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</row>
    <row r="213" spans="21:230" ht="12.75">
      <c r="U213" s="5"/>
      <c r="V213" s="5"/>
      <c r="W213" s="5"/>
      <c r="X213" s="5"/>
      <c r="Y213" s="5"/>
      <c r="AA213" s="5"/>
      <c r="AB213" s="5"/>
      <c r="AC213" s="5"/>
      <c r="AD213" s="5"/>
      <c r="AE213" s="5"/>
      <c r="AY213" s="5"/>
      <c r="AZ213" s="5"/>
      <c r="BA213" s="5"/>
      <c r="BB213" s="5"/>
      <c r="BC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</row>
    <row r="214" spans="21:230" ht="12.75">
      <c r="U214" s="5"/>
      <c r="V214" s="5"/>
      <c r="W214" s="5"/>
      <c r="X214" s="5"/>
      <c r="Y214" s="5"/>
      <c r="AA214" s="5"/>
      <c r="AB214" s="5"/>
      <c r="AC214" s="5"/>
      <c r="AD214" s="5"/>
      <c r="AE214" s="5"/>
      <c r="AY214" s="5"/>
      <c r="AZ214" s="5"/>
      <c r="BA214" s="5"/>
      <c r="BB214" s="5"/>
      <c r="BC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</row>
    <row r="215" spans="21:230" ht="12.75">
      <c r="U215" s="5"/>
      <c r="V215" s="5"/>
      <c r="W215" s="5"/>
      <c r="X215" s="5"/>
      <c r="Y215" s="5"/>
      <c r="AA215" s="5"/>
      <c r="AB215" s="5"/>
      <c r="AC215" s="5"/>
      <c r="AD215" s="5"/>
      <c r="AE215" s="5"/>
      <c r="AY215" s="5"/>
      <c r="AZ215" s="5"/>
      <c r="BA215" s="5"/>
      <c r="BB215" s="5"/>
      <c r="BC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</row>
    <row r="216" spans="21:230" ht="12.75">
      <c r="U216" s="5"/>
      <c r="V216" s="5"/>
      <c r="W216" s="5"/>
      <c r="X216" s="5"/>
      <c r="Y216" s="5"/>
      <c r="AA216" s="5"/>
      <c r="AB216" s="5"/>
      <c r="AC216" s="5"/>
      <c r="AD216" s="5"/>
      <c r="AE216" s="5"/>
      <c r="AY216" s="5"/>
      <c r="AZ216" s="5"/>
      <c r="BA216" s="5"/>
      <c r="BB216" s="5"/>
      <c r="BC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</row>
    <row r="217" spans="21:230" ht="12.75">
      <c r="U217" s="5"/>
      <c r="V217" s="5"/>
      <c r="W217" s="5"/>
      <c r="X217" s="5"/>
      <c r="Y217" s="5"/>
      <c r="AA217" s="5"/>
      <c r="AB217" s="5"/>
      <c r="AC217" s="5"/>
      <c r="AD217" s="5"/>
      <c r="AE217" s="5"/>
      <c r="AY217" s="5"/>
      <c r="AZ217" s="5"/>
      <c r="BA217" s="5"/>
      <c r="BB217" s="5"/>
      <c r="BC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</row>
    <row r="218" spans="21:230" ht="12.75">
      <c r="U218" s="5"/>
      <c r="V218" s="5"/>
      <c r="W218" s="5"/>
      <c r="X218" s="5"/>
      <c r="Y218" s="5"/>
      <c r="AA218" s="5"/>
      <c r="AB218" s="5"/>
      <c r="AC218" s="5"/>
      <c r="AD218" s="5"/>
      <c r="AE218" s="5"/>
      <c r="AY218" s="5"/>
      <c r="AZ218" s="5"/>
      <c r="BA218" s="5"/>
      <c r="BB218" s="5"/>
      <c r="BC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</row>
    <row r="219" spans="21:230" ht="12.75">
      <c r="U219" s="5"/>
      <c r="V219" s="5"/>
      <c r="W219" s="5"/>
      <c r="X219" s="5"/>
      <c r="Y219" s="5"/>
      <c r="AA219" s="5"/>
      <c r="AB219" s="5"/>
      <c r="AC219" s="5"/>
      <c r="AD219" s="5"/>
      <c r="AE219" s="5"/>
      <c r="AY219" s="5"/>
      <c r="AZ219" s="5"/>
      <c r="BA219" s="5"/>
      <c r="BB219" s="5"/>
      <c r="BC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</row>
    <row r="220" spans="21:230" ht="12.75">
      <c r="U220" s="5"/>
      <c r="V220" s="5"/>
      <c r="W220" s="5"/>
      <c r="X220" s="5"/>
      <c r="Y220" s="5"/>
      <c r="AA220" s="5"/>
      <c r="AB220" s="5"/>
      <c r="AC220" s="5"/>
      <c r="AD220" s="5"/>
      <c r="AE220" s="5"/>
      <c r="AY220" s="5"/>
      <c r="AZ220" s="5"/>
      <c r="BA220" s="5"/>
      <c r="BB220" s="5"/>
      <c r="BC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</row>
    <row r="221" spans="21:230" ht="12.75">
      <c r="U221" s="5"/>
      <c r="V221" s="5"/>
      <c r="W221" s="5"/>
      <c r="X221" s="5"/>
      <c r="Y221" s="5"/>
      <c r="AA221" s="5"/>
      <c r="AB221" s="5"/>
      <c r="AC221" s="5"/>
      <c r="AD221" s="5"/>
      <c r="AE221" s="5"/>
      <c r="AY221" s="5"/>
      <c r="AZ221" s="5"/>
      <c r="BA221" s="5"/>
      <c r="BB221" s="5"/>
      <c r="BC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</row>
    <row r="222" spans="21:230" ht="12.75">
      <c r="U222" s="5"/>
      <c r="V222" s="5"/>
      <c r="W222" s="5"/>
      <c r="X222" s="5"/>
      <c r="Y222" s="5"/>
      <c r="AA222" s="5"/>
      <c r="AB222" s="5"/>
      <c r="AC222" s="5"/>
      <c r="AD222" s="5"/>
      <c r="AE222" s="5"/>
      <c r="AY222" s="5"/>
      <c r="AZ222" s="5"/>
      <c r="BA222" s="5"/>
      <c r="BB222" s="5"/>
      <c r="BC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</row>
    <row r="223" spans="21:230" ht="12.75">
      <c r="U223" s="5"/>
      <c r="V223" s="5"/>
      <c r="W223" s="5"/>
      <c r="X223" s="5"/>
      <c r="Y223" s="5"/>
      <c r="AA223" s="5"/>
      <c r="AB223" s="5"/>
      <c r="AC223" s="5"/>
      <c r="AD223" s="5"/>
      <c r="AE223" s="5"/>
      <c r="AY223" s="5"/>
      <c r="AZ223" s="5"/>
      <c r="BA223" s="5"/>
      <c r="BB223" s="5"/>
      <c r="BC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</row>
    <row r="224" spans="21:230" ht="12.75">
      <c r="U224" s="5"/>
      <c r="V224" s="5"/>
      <c r="W224" s="5"/>
      <c r="X224" s="5"/>
      <c r="Y224" s="5"/>
      <c r="AA224" s="5"/>
      <c r="AB224" s="5"/>
      <c r="AC224" s="5"/>
      <c r="AD224" s="5"/>
      <c r="AE224" s="5"/>
      <c r="AY224" s="5"/>
      <c r="AZ224" s="5"/>
      <c r="BA224" s="5"/>
      <c r="BB224" s="5"/>
      <c r="BC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</row>
    <row r="225" spans="21:230" ht="12.75">
      <c r="U225" s="5"/>
      <c r="V225" s="5"/>
      <c r="W225" s="5"/>
      <c r="X225" s="5"/>
      <c r="Y225" s="5"/>
      <c r="AA225" s="5"/>
      <c r="AB225" s="5"/>
      <c r="AC225" s="5"/>
      <c r="AD225" s="5"/>
      <c r="AE225" s="5"/>
      <c r="AY225" s="5"/>
      <c r="AZ225" s="5"/>
      <c r="BA225" s="5"/>
      <c r="BB225" s="5"/>
      <c r="BC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</row>
    <row r="226" spans="21:230" ht="12.75">
      <c r="U226" s="5"/>
      <c r="V226" s="5"/>
      <c r="W226" s="5"/>
      <c r="X226" s="5"/>
      <c r="Y226" s="5"/>
      <c r="AA226" s="5"/>
      <c r="AB226" s="5"/>
      <c r="AC226" s="5"/>
      <c r="AD226" s="5"/>
      <c r="AE226" s="5"/>
      <c r="AY226" s="5"/>
      <c r="AZ226" s="5"/>
      <c r="BA226" s="5"/>
      <c r="BB226" s="5"/>
      <c r="BC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</row>
    <row r="227" spans="21:230" ht="12.75">
      <c r="U227" s="5"/>
      <c r="V227" s="5"/>
      <c r="W227" s="5"/>
      <c r="X227" s="5"/>
      <c r="Y227" s="5"/>
      <c r="AA227" s="5"/>
      <c r="AB227" s="5"/>
      <c r="AC227" s="5"/>
      <c r="AD227" s="5"/>
      <c r="AE227" s="5"/>
      <c r="AY227" s="5"/>
      <c r="AZ227" s="5"/>
      <c r="BA227" s="5"/>
      <c r="BB227" s="5"/>
      <c r="BC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</row>
    <row r="228" spans="21:230" ht="12.75">
      <c r="U228" s="5"/>
      <c r="V228" s="5"/>
      <c r="W228" s="5"/>
      <c r="X228" s="5"/>
      <c r="Y228" s="5"/>
      <c r="AA228" s="5"/>
      <c r="AB228" s="5"/>
      <c r="AC228" s="5"/>
      <c r="AD228" s="5"/>
      <c r="AE228" s="5"/>
      <c r="AY228" s="5"/>
      <c r="AZ228" s="5"/>
      <c r="BA228" s="5"/>
      <c r="BB228" s="5"/>
      <c r="BC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</row>
    <row r="229" spans="21:230" ht="12.75">
      <c r="U229" s="5"/>
      <c r="V229" s="5"/>
      <c r="W229" s="5"/>
      <c r="X229" s="5"/>
      <c r="Y229" s="5"/>
      <c r="AA229" s="5"/>
      <c r="AB229" s="5"/>
      <c r="AC229" s="5"/>
      <c r="AD229" s="5"/>
      <c r="AE229" s="5"/>
      <c r="AY229" s="5"/>
      <c r="AZ229" s="5"/>
      <c r="BA229" s="5"/>
      <c r="BB229" s="5"/>
      <c r="BC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</row>
    <row r="230" spans="21:230" ht="12.75">
      <c r="U230" s="5"/>
      <c r="V230" s="5"/>
      <c r="W230" s="5"/>
      <c r="X230" s="5"/>
      <c r="Y230" s="5"/>
      <c r="AA230" s="5"/>
      <c r="AB230" s="5"/>
      <c r="AC230" s="5"/>
      <c r="AD230" s="5"/>
      <c r="AE230" s="5"/>
      <c r="AY230" s="5"/>
      <c r="AZ230" s="5"/>
      <c r="BA230" s="5"/>
      <c r="BB230" s="5"/>
      <c r="BC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</row>
    <row r="231" spans="21:230" ht="12.75">
      <c r="U231" s="5"/>
      <c r="V231" s="5"/>
      <c r="W231" s="5"/>
      <c r="X231" s="5"/>
      <c r="Y231" s="5"/>
      <c r="AA231" s="5"/>
      <c r="AB231" s="5"/>
      <c r="AC231" s="5"/>
      <c r="AD231" s="5"/>
      <c r="AE231" s="5"/>
      <c r="AY231" s="5"/>
      <c r="AZ231" s="5"/>
      <c r="BA231" s="5"/>
      <c r="BB231" s="5"/>
      <c r="BC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</row>
    <row r="232" spans="21:230" ht="12.75">
      <c r="U232" s="5"/>
      <c r="V232" s="5"/>
      <c r="W232" s="5"/>
      <c r="X232" s="5"/>
      <c r="Y232" s="5"/>
      <c r="AA232" s="5"/>
      <c r="AB232" s="5"/>
      <c r="AC232" s="5"/>
      <c r="AD232" s="5"/>
      <c r="AE232" s="5"/>
      <c r="AY232" s="5"/>
      <c r="AZ232" s="5"/>
      <c r="BA232" s="5"/>
      <c r="BB232" s="5"/>
      <c r="BC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</row>
    <row r="233" spans="21:230" ht="12.75">
      <c r="U233" s="5"/>
      <c r="V233" s="5"/>
      <c r="W233" s="5"/>
      <c r="X233" s="5"/>
      <c r="Y233" s="5"/>
      <c r="AA233" s="5"/>
      <c r="AB233" s="5"/>
      <c r="AC233" s="5"/>
      <c r="AD233" s="5"/>
      <c r="AE233" s="5"/>
      <c r="AY233" s="5"/>
      <c r="AZ233" s="5"/>
      <c r="BA233" s="5"/>
      <c r="BB233" s="5"/>
      <c r="BC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</row>
    <row r="234" spans="21:230" ht="12.75">
      <c r="U234" s="5"/>
      <c r="V234" s="5"/>
      <c r="W234" s="5"/>
      <c r="X234" s="5"/>
      <c r="Y234" s="5"/>
      <c r="AA234" s="5"/>
      <c r="AB234" s="5"/>
      <c r="AC234" s="5"/>
      <c r="AD234" s="5"/>
      <c r="AE234" s="5"/>
      <c r="AY234" s="5"/>
      <c r="AZ234" s="5"/>
      <c r="BA234" s="5"/>
      <c r="BB234" s="5"/>
      <c r="BC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</row>
    <row r="235" spans="21:230" ht="12.75">
      <c r="U235" s="5"/>
      <c r="V235" s="5"/>
      <c r="W235" s="5"/>
      <c r="X235" s="5"/>
      <c r="Y235" s="5"/>
      <c r="AA235" s="5"/>
      <c r="AB235" s="5"/>
      <c r="AC235" s="5"/>
      <c r="AD235" s="5"/>
      <c r="AE235" s="5"/>
      <c r="AY235" s="5"/>
      <c r="AZ235" s="5"/>
      <c r="BA235" s="5"/>
      <c r="BB235" s="5"/>
      <c r="BC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</row>
    <row r="236" spans="21:230" ht="12.75">
      <c r="U236" s="5"/>
      <c r="V236" s="5"/>
      <c r="W236" s="5"/>
      <c r="X236" s="5"/>
      <c r="Y236" s="5"/>
      <c r="AA236" s="5"/>
      <c r="AB236" s="5"/>
      <c r="AC236" s="5"/>
      <c r="AD236" s="5"/>
      <c r="AE236" s="5"/>
      <c r="AY236" s="5"/>
      <c r="AZ236" s="5"/>
      <c r="BA236" s="5"/>
      <c r="BB236" s="5"/>
      <c r="BC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</row>
    <row r="237" spans="21:230" ht="12.75">
      <c r="U237" s="5"/>
      <c r="V237" s="5"/>
      <c r="W237" s="5"/>
      <c r="X237" s="5"/>
      <c r="Y237" s="5"/>
      <c r="AA237" s="5"/>
      <c r="AB237" s="5"/>
      <c r="AC237" s="5"/>
      <c r="AD237" s="5"/>
      <c r="AE237" s="5"/>
      <c r="AY237" s="5"/>
      <c r="AZ237" s="5"/>
      <c r="BA237" s="5"/>
      <c r="BB237" s="5"/>
      <c r="BC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</row>
    <row r="238" spans="21:230" ht="12.75">
      <c r="U238" s="5"/>
      <c r="V238" s="5"/>
      <c r="W238" s="5"/>
      <c r="X238" s="5"/>
      <c r="Y238" s="5"/>
      <c r="AA238" s="5"/>
      <c r="AB238" s="5"/>
      <c r="AC238" s="5"/>
      <c r="AD238" s="5"/>
      <c r="AE238" s="5"/>
      <c r="AY238" s="5"/>
      <c r="AZ238" s="5"/>
      <c r="BA238" s="5"/>
      <c r="BB238" s="5"/>
      <c r="BC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</row>
    <row r="239" spans="21:230" ht="12.75">
      <c r="U239" s="5"/>
      <c r="V239" s="5"/>
      <c r="W239" s="5"/>
      <c r="X239" s="5"/>
      <c r="Y239" s="5"/>
      <c r="AA239" s="5"/>
      <c r="AB239" s="5"/>
      <c r="AC239" s="5"/>
      <c r="AD239" s="5"/>
      <c r="AE239" s="5"/>
      <c r="AY239" s="5"/>
      <c r="AZ239" s="5"/>
      <c r="BA239" s="5"/>
      <c r="BB239" s="5"/>
      <c r="BC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</row>
    <row r="240" spans="21:230" ht="12.75">
      <c r="U240" s="5"/>
      <c r="V240" s="5"/>
      <c r="W240" s="5"/>
      <c r="X240" s="5"/>
      <c r="Y240" s="5"/>
      <c r="AA240" s="5"/>
      <c r="AB240" s="5"/>
      <c r="AC240" s="5"/>
      <c r="AD240" s="5"/>
      <c r="AE240" s="5"/>
      <c r="AY240" s="5"/>
      <c r="AZ240" s="5"/>
      <c r="BA240" s="5"/>
      <c r="BB240" s="5"/>
      <c r="BC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</row>
    <row r="241" spans="21:230" ht="12.75">
      <c r="U241" s="5"/>
      <c r="V241" s="5"/>
      <c r="W241" s="5"/>
      <c r="X241" s="5"/>
      <c r="Y241" s="5"/>
      <c r="AA241" s="5"/>
      <c r="AB241" s="5"/>
      <c r="AC241" s="5"/>
      <c r="AD241" s="5"/>
      <c r="AE241" s="5"/>
      <c r="AY241" s="5"/>
      <c r="AZ241" s="5"/>
      <c r="BA241" s="5"/>
      <c r="BB241" s="5"/>
      <c r="BC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</row>
    <row r="242" spans="21:230" ht="12.75">
      <c r="U242" s="5"/>
      <c r="V242" s="5"/>
      <c r="W242" s="5"/>
      <c r="X242" s="5"/>
      <c r="Y242" s="5"/>
      <c r="AA242" s="5"/>
      <c r="AB242" s="5"/>
      <c r="AC242" s="5"/>
      <c r="AD242" s="5"/>
      <c r="AE242" s="5"/>
      <c r="AY242" s="5"/>
      <c r="AZ242" s="5"/>
      <c r="BA242" s="5"/>
      <c r="BB242" s="5"/>
      <c r="BC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</row>
    <row r="243" spans="21:230" ht="12.75">
      <c r="U243" s="5"/>
      <c r="V243" s="5"/>
      <c r="W243" s="5"/>
      <c r="X243" s="5"/>
      <c r="Y243" s="5"/>
      <c r="AA243" s="5"/>
      <c r="AB243" s="5"/>
      <c r="AC243" s="5"/>
      <c r="AD243" s="5"/>
      <c r="AE243" s="5"/>
      <c r="AY243" s="5"/>
      <c r="AZ243" s="5"/>
      <c r="BA243" s="5"/>
      <c r="BB243" s="5"/>
      <c r="BC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</row>
    <row r="244" spans="21:230" ht="12.75">
      <c r="U244" s="5"/>
      <c r="V244" s="5"/>
      <c r="W244" s="5"/>
      <c r="X244" s="5"/>
      <c r="Y244" s="5"/>
      <c r="AA244" s="5"/>
      <c r="AB244" s="5"/>
      <c r="AC244" s="5"/>
      <c r="AD244" s="5"/>
      <c r="AE244" s="5"/>
      <c r="AY244" s="5"/>
      <c r="AZ244" s="5"/>
      <c r="BA244" s="5"/>
      <c r="BB244" s="5"/>
      <c r="BC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</row>
    <row r="245" spans="21:230" ht="12.75">
      <c r="U245" s="5"/>
      <c r="V245" s="5"/>
      <c r="W245" s="5"/>
      <c r="X245" s="5"/>
      <c r="Y245" s="5"/>
      <c r="AA245" s="5"/>
      <c r="AB245" s="5"/>
      <c r="AC245" s="5"/>
      <c r="AD245" s="5"/>
      <c r="AE245" s="5"/>
      <c r="AY245" s="5"/>
      <c r="AZ245" s="5"/>
      <c r="BA245" s="5"/>
      <c r="BB245" s="5"/>
      <c r="BC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</row>
    <row r="246" spans="21:230" ht="12.75">
      <c r="U246" s="5"/>
      <c r="V246" s="5"/>
      <c r="W246" s="5"/>
      <c r="X246" s="5"/>
      <c r="Y246" s="5"/>
      <c r="AA246" s="5"/>
      <c r="AB246" s="5"/>
      <c r="AC246" s="5"/>
      <c r="AD246" s="5"/>
      <c r="AE246" s="5"/>
      <c r="AY246" s="5"/>
      <c r="AZ246" s="5"/>
      <c r="BA246" s="5"/>
      <c r="BB246" s="5"/>
      <c r="BC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</row>
    <row r="247" spans="21:230" ht="12.75">
      <c r="U247" s="5"/>
      <c r="V247" s="5"/>
      <c r="W247" s="5"/>
      <c r="X247" s="5"/>
      <c r="Y247" s="5"/>
      <c r="AA247" s="5"/>
      <c r="AB247" s="5"/>
      <c r="AC247" s="5"/>
      <c r="AD247" s="5"/>
      <c r="AE247" s="5"/>
      <c r="AY247" s="5"/>
      <c r="AZ247" s="5"/>
      <c r="BA247" s="5"/>
      <c r="BB247" s="5"/>
      <c r="BC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</row>
    <row r="248" spans="21:230" ht="12.75">
      <c r="U248" s="5"/>
      <c r="V248" s="5"/>
      <c r="W248" s="5"/>
      <c r="X248" s="5"/>
      <c r="Y248" s="5"/>
      <c r="AA248" s="5"/>
      <c r="AB248" s="5"/>
      <c r="AC248" s="5"/>
      <c r="AD248" s="5"/>
      <c r="AE248" s="5"/>
      <c r="AY248" s="5"/>
      <c r="AZ248" s="5"/>
      <c r="BA248" s="5"/>
      <c r="BB248" s="5"/>
      <c r="BC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</row>
    <row r="249" spans="21:230" ht="12.75">
      <c r="U249" s="5"/>
      <c r="V249" s="5"/>
      <c r="W249" s="5"/>
      <c r="X249" s="5"/>
      <c r="Y249" s="5"/>
      <c r="AA249" s="5"/>
      <c r="AB249" s="5"/>
      <c r="AC249" s="5"/>
      <c r="AD249" s="5"/>
      <c r="AE249" s="5"/>
      <c r="AY249" s="5"/>
      <c r="AZ249" s="5"/>
      <c r="BA249" s="5"/>
      <c r="BB249" s="5"/>
      <c r="BC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</row>
    <row r="250" spans="21:230" ht="12.75">
      <c r="U250" s="5"/>
      <c r="V250" s="5"/>
      <c r="W250" s="5"/>
      <c r="X250" s="5"/>
      <c r="Y250" s="5"/>
      <c r="AA250" s="5"/>
      <c r="AB250" s="5"/>
      <c r="AC250" s="5"/>
      <c r="AD250" s="5"/>
      <c r="AE250" s="5"/>
      <c r="AY250" s="5"/>
      <c r="AZ250" s="5"/>
      <c r="BA250" s="5"/>
      <c r="BB250" s="5"/>
      <c r="BC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</row>
    <row r="251" spans="21:230" ht="12.75">
      <c r="U251" s="5"/>
      <c r="V251" s="5"/>
      <c r="W251" s="5"/>
      <c r="X251" s="5"/>
      <c r="Y251" s="5"/>
      <c r="AA251" s="5"/>
      <c r="AB251" s="5"/>
      <c r="AC251" s="5"/>
      <c r="AD251" s="5"/>
      <c r="AE251" s="5"/>
      <c r="AY251" s="5"/>
      <c r="AZ251" s="5"/>
      <c r="BA251" s="5"/>
      <c r="BB251" s="5"/>
      <c r="BC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</row>
    <row r="252" spans="21:230" ht="12.75">
      <c r="U252" s="5"/>
      <c r="V252" s="5"/>
      <c r="W252" s="5"/>
      <c r="X252" s="5"/>
      <c r="Y252" s="5"/>
      <c r="AA252" s="5"/>
      <c r="AB252" s="5"/>
      <c r="AC252" s="5"/>
      <c r="AD252" s="5"/>
      <c r="AE252" s="5"/>
      <c r="AY252" s="5"/>
      <c r="AZ252" s="5"/>
      <c r="BA252" s="5"/>
      <c r="BB252" s="5"/>
      <c r="BC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</row>
    <row r="253" spans="21:230" ht="12.75">
      <c r="U253" s="5"/>
      <c r="V253" s="5"/>
      <c r="W253" s="5"/>
      <c r="X253" s="5"/>
      <c r="Y253" s="5"/>
      <c r="AA253" s="5"/>
      <c r="AB253" s="5"/>
      <c r="AC253" s="5"/>
      <c r="AD253" s="5"/>
      <c r="AE253" s="5"/>
      <c r="AY253" s="5"/>
      <c r="AZ253" s="5"/>
      <c r="BA253" s="5"/>
      <c r="BB253" s="5"/>
      <c r="BC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</row>
    <row r="254" spans="21:230" ht="12.75">
      <c r="U254" s="5"/>
      <c r="V254" s="5"/>
      <c r="W254" s="5"/>
      <c r="X254" s="5"/>
      <c r="Y254" s="5"/>
      <c r="AA254" s="5"/>
      <c r="AB254" s="5"/>
      <c r="AC254" s="5"/>
      <c r="AD254" s="5"/>
      <c r="AE254" s="5"/>
      <c r="AY254" s="5"/>
      <c r="AZ254" s="5"/>
      <c r="BA254" s="5"/>
      <c r="BB254" s="5"/>
      <c r="BC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</row>
    <row r="255" spans="21:230" ht="12.75">
      <c r="U255" s="5"/>
      <c r="V255" s="5"/>
      <c r="W255" s="5"/>
      <c r="X255" s="5"/>
      <c r="Y255" s="5"/>
      <c r="AA255" s="5"/>
      <c r="AB255" s="5"/>
      <c r="AC255" s="5"/>
      <c r="AD255" s="5"/>
      <c r="AE255" s="5"/>
      <c r="AY255" s="5"/>
      <c r="AZ255" s="5"/>
      <c r="BA255" s="5"/>
      <c r="BB255" s="5"/>
      <c r="BC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</row>
    <row r="256" spans="21:230" ht="12.75">
      <c r="U256" s="5"/>
      <c r="V256" s="5"/>
      <c r="W256" s="5"/>
      <c r="X256" s="5"/>
      <c r="Y256" s="5"/>
      <c r="AA256" s="5"/>
      <c r="AB256" s="5"/>
      <c r="AC256" s="5"/>
      <c r="AD256" s="5"/>
      <c r="AE256" s="5"/>
      <c r="AY256" s="5"/>
      <c r="AZ256" s="5"/>
      <c r="BA256" s="5"/>
      <c r="BB256" s="5"/>
      <c r="BC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</row>
    <row r="257" spans="21:230" ht="12.75">
      <c r="U257" s="5"/>
      <c r="V257" s="5"/>
      <c r="W257" s="5"/>
      <c r="X257" s="5"/>
      <c r="Y257" s="5"/>
      <c r="AA257" s="5"/>
      <c r="AB257" s="5"/>
      <c r="AC257" s="5"/>
      <c r="AD257" s="5"/>
      <c r="AE257" s="5"/>
      <c r="AY257" s="5"/>
      <c r="AZ257" s="5"/>
      <c r="BA257" s="5"/>
      <c r="BB257" s="5"/>
      <c r="BC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</row>
    <row r="258" spans="21:230" ht="12.75">
      <c r="U258" s="5"/>
      <c r="V258" s="5"/>
      <c r="W258" s="5"/>
      <c r="X258" s="5"/>
      <c r="Y258" s="5"/>
      <c r="AA258" s="5"/>
      <c r="AB258" s="5"/>
      <c r="AC258" s="5"/>
      <c r="AD258" s="5"/>
      <c r="AE258" s="5"/>
      <c r="AY258" s="5"/>
      <c r="AZ258" s="5"/>
      <c r="BA258" s="5"/>
      <c r="BB258" s="5"/>
      <c r="BC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</row>
    <row r="259" spans="21:230" ht="12.75">
      <c r="U259" s="5"/>
      <c r="V259" s="5"/>
      <c r="W259" s="5"/>
      <c r="X259" s="5"/>
      <c r="Y259" s="5"/>
      <c r="AA259" s="5"/>
      <c r="AB259" s="5"/>
      <c r="AC259" s="5"/>
      <c r="AD259" s="5"/>
      <c r="AE259" s="5"/>
      <c r="AY259" s="5"/>
      <c r="AZ259" s="5"/>
      <c r="BA259" s="5"/>
      <c r="BB259" s="5"/>
      <c r="BC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</row>
    <row r="260" spans="21:230" ht="12.75">
      <c r="U260" s="5"/>
      <c r="V260" s="5"/>
      <c r="W260" s="5"/>
      <c r="X260" s="5"/>
      <c r="Y260" s="5"/>
      <c r="AA260" s="5"/>
      <c r="AB260" s="5"/>
      <c r="AC260" s="5"/>
      <c r="AD260" s="5"/>
      <c r="AE260" s="5"/>
      <c r="AY260" s="5"/>
      <c r="AZ260" s="5"/>
      <c r="BA260" s="5"/>
      <c r="BB260" s="5"/>
      <c r="BC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</row>
    <row r="261" spans="21:230" ht="12.75">
      <c r="U261" s="5"/>
      <c r="V261" s="5"/>
      <c r="W261" s="5"/>
      <c r="X261" s="5"/>
      <c r="Y261" s="5"/>
      <c r="AA261" s="5"/>
      <c r="AB261" s="5"/>
      <c r="AC261" s="5"/>
      <c r="AD261" s="5"/>
      <c r="AE261" s="5"/>
      <c r="AY261" s="5"/>
      <c r="AZ261" s="5"/>
      <c r="BA261" s="5"/>
      <c r="BB261" s="5"/>
      <c r="BC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</row>
    <row r="262" spans="21:230" ht="12.75">
      <c r="U262" s="5"/>
      <c r="V262" s="5"/>
      <c r="W262" s="5"/>
      <c r="X262" s="5"/>
      <c r="Y262" s="5"/>
      <c r="AA262" s="5"/>
      <c r="AB262" s="5"/>
      <c r="AC262" s="5"/>
      <c r="AD262" s="5"/>
      <c r="AE262" s="5"/>
      <c r="AY262" s="5"/>
      <c r="AZ262" s="5"/>
      <c r="BA262" s="5"/>
      <c r="BB262" s="5"/>
      <c r="BC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</row>
    <row r="263" spans="21:230" ht="12.75">
      <c r="U263" s="5"/>
      <c r="V263" s="5"/>
      <c r="W263" s="5"/>
      <c r="X263" s="5"/>
      <c r="Y263" s="5"/>
      <c r="AA263" s="5"/>
      <c r="AB263" s="5"/>
      <c r="AC263" s="5"/>
      <c r="AD263" s="5"/>
      <c r="AE263" s="5"/>
      <c r="AY263" s="5"/>
      <c r="AZ263" s="5"/>
      <c r="BA263" s="5"/>
      <c r="BB263" s="5"/>
      <c r="BC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</row>
    <row r="264" spans="21:230" ht="12.75">
      <c r="U264" s="5"/>
      <c r="V264" s="5"/>
      <c r="W264" s="5"/>
      <c r="X264" s="5"/>
      <c r="Y264" s="5"/>
      <c r="AA264" s="5"/>
      <c r="AB264" s="5"/>
      <c r="AC264" s="5"/>
      <c r="AD264" s="5"/>
      <c r="AE264" s="5"/>
      <c r="AY264" s="5"/>
      <c r="AZ264" s="5"/>
      <c r="BA264" s="5"/>
      <c r="BB264" s="5"/>
      <c r="BC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</row>
    <row r="265" spans="21:230" ht="12.75">
      <c r="U265" s="5"/>
      <c r="V265" s="5"/>
      <c r="W265" s="5"/>
      <c r="X265" s="5"/>
      <c r="Y265" s="5"/>
      <c r="AA265" s="5"/>
      <c r="AB265" s="5"/>
      <c r="AC265" s="5"/>
      <c r="AD265" s="5"/>
      <c r="AE265" s="5"/>
      <c r="AY265" s="5"/>
      <c r="AZ265" s="5"/>
      <c r="BA265" s="5"/>
      <c r="BB265" s="5"/>
      <c r="BC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</row>
    <row r="266" spans="21:230" ht="12.75">
      <c r="U266" s="5"/>
      <c r="V266" s="5"/>
      <c r="W266" s="5"/>
      <c r="X266" s="5"/>
      <c r="Y266" s="5"/>
      <c r="AA266" s="5"/>
      <c r="AB266" s="5"/>
      <c r="AC266" s="5"/>
      <c r="AD266" s="5"/>
      <c r="AE266" s="5"/>
      <c r="AY266" s="5"/>
      <c r="AZ266" s="5"/>
      <c r="BA266" s="5"/>
      <c r="BB266" s="5"/>
      <c r="BC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</row>
    <row r="267" spans="21:230" ht="12.75">
      <c r="U267" s="5"/>
      <c r="V267" s="5"/>
      <c r="W267" s="5"/>
      <c r="X267" s="5"/>
      <c r="Y267" s="5"/>
      <c r="AA267" s="5"/>
      <c r="AB267" s="5"/>
      <c r="AC267" s="5"/>
      <c r="AD267" s="5"/>
      <c r="AE267" s="5"/>
      <c r="AY267" s="5"/>
      <c r="AZ267" s="5"/>
      <c r="BA267" s="5"/>
      <c r="BB267" s="5"/>
      <c r="BC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</row>
    <row r="268" spans="21:230" ht="12.75">
      <c r="U268" s="5"/>
      <c r="V268" s="5"/>
      <c r="W268" s="5"/>
      <c r="X268" s="5"/>
      <c r="Y268" s="5"/>
      <c r="AA268" s="5"/>
      <c r="AB268" s="5"/>
      <c r="AC268" s="5"/>
      <c r="AD268" s="5"/>
      <c r="AE268" s="5"/>
      <c r="AY268" s="5"/>
      <c r="AZ268" s="5"/>
      <c r="BA268" s="5"/>
      <c r="BB268" s="5"/>
      <c r="BC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</row>
    <row r="269" spans="21:230" ht="12.75">
      <c r="U269" s="5"/>
      <c r="V269" s="5"/>
      <c r="W269" s="5"/>
      <c r="X269" s="5"/>
      <c r="Y269" s="5"/>
      <c r="AA269" s="5"/>
      <c r="AB269" s="5"/>
      <c r="AC269" s="5"/>
      <c r="AD269" s="5"/>
      <c r="AE269" s="5"/>
      <c r="AY269" s="5"/>
      <c r="AZ269" s="5"/>
      <c r="BA269" s="5"/>
      <c r="BB269" s="5"/>
      <c r="BC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</row>
    <row r="270" spans="21:230" ht="12.75">
      <c r="U270" s="5"/>
      <c r="V270" s="5"/>
      <c r="W270" s="5"/>
      <c r="X270" s="5"/>
      <c r="Y270" s="5"/>
      <c r="AA270" s="5"/>
      <c r="AB270" s="5"/>
      <c r="AC270" s="5"/>
      <c r="AD270" s="5"/>
      <c r="AE270" s="5"/>
      <c r="AY270" s="5"/>
      <c r="AZ270" s="5"/>
      <c r="BA270" s="5"/>
      <c r="BB270" s="5"/>
      <c r="BC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</row>
    <row r="271" spans="21:230" ht="12.75">
      <c r="U271" s="5"/>
      <c r="V271" s="5"/>
      <c r="W271" s="5"/>
      <c r="X271" s="5"/>
      <c r="Y271" s="5"/>
      <c r="AA271" s="5"/>
      <c r="AB271" s="5"/>
      <c r="AC271" s="5"/>
      <c r="AD271" s="5"/>
      <c r="AE271" s="5"/>
      <c r="AY271" s="5"/>
      <c r="AZ271" s="5"/>
      <c r="BA271" s="5"/>
      <c r="BB271" s="5"/>
      <c r="BC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</row>
    <row r="272" spans="21:230" ht="12.75">
      <c r="U272" s="5"/>
      <c r="V272" s="5"/>
      <c r="W272" s="5"/>
      <c r="X272" s="5"/>
      <c r="Y272" s="5"/>
      <c r="AA272" s="5"/>
      <c r="AB272" s="5"/>
      <c r="AC272" s="5"/>
      <c r="AD272" s="5"/>
      <c r="AE272" s="5"/>
      <c r="AY272" s="5"/>
      <c r="AZ272" s="5"/>
      <c r="BA272" s="5"/>
      <c r="BB272" s="5"/>
      <c r="BC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</row>
    <row r="273" spans="21:230" ht="12.75">
      <c r="U273" s="5"/>
      <c r="V273" s="5"/>
      <c r="W273" s="5"/>
      <c r="X273" s="5"/>
      <c r="Y273" s="5"/>
      <c r="AA273" s="5"/>
      <c r="AB273" s="5"/>
      <c r="AC273" s="5"/>
      <c r="AD273" s="5"/>
      <c r="AE273" s="5"/>
      <c r="AY273" s="5"/>
      <c r="AZ273" s="5"/>
      <c r="BA273" s="5"/>
      <c r="BB273" s="5"/>
      <c r="BC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</row>
    <row r="274" spans="21:230" ht="12.75">
      <c r="U274" s="5"/>
      <c r="V274" s="5"/>
      <c r="W274" s="5"/>
      <c r="X274" s="5"/>
      <c r="Y274" s="5"/>
      <c r="AA274" s="5"/>
      <c r="AB274" s="5"/>
      <c r="AC274" s="5"/>
      <c r="AD274" s="5"/>
      <c r="AE274" s="5"/>
      <c r="AY274" s="5"/>
      <c r="AZ274" s="5"/>
      <c r="BA274" s="5"/>
      <c r="BB274" s="5"/>
      <c r="BC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</row>
    <row r="275" spans="21:230" ht="12.75">
      <c r="U275" s="5"/>
      <c r="V275" s="5"/>
      <c r="W275" s="5"/>
      <c r="X275" s="5"/>
      <c r="Y275" s="5"/>
      <c r="AA275" s="5"/>
      <c r="AB275" s="5"/>
      <c r="AC275" s="5"/>
      <c r="AD275" s="5"/>
      <c r="AE275" s="5"/>
      <c r="AY275" s="5"/>
      <c r="AZ275" s="5"/>
      <c r="BA275" s="5"/>
      <c r="BB275" s="5"/>
      <c r="BC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</row>
    <row r="276" spans="21:230" ht="12.75">
      <c r="U276" s="5"/>
      <c r="V276" s="5"/>
      <c r="W276" s="5"/>
      <c r="X276" s="5"/>
      <c r="Y276" s="5"/>
      <c r="AA276" s="5"/>
      <c r="AB276" s="5"/>
      <c r="AC276" s="5"/>
      <c r="AD276" s="5"/>
      <c r="AE276" s="5"/>
      <c r="AY276" s="5"/>
      <c r="AZ276" s="5"/>
      <c r="BA276" s="5"/>
      <c r="BB276" s="5"/>
      <c r="BC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</row>
    <row r="277" spans="21:230" ht="12.75">
      <c r="U277" s="5"/>
      <c r="V277" s="5"/>
      <c r="W277" s="5"/>
      <c r="X277" s="5"/>
      <c r="Y277" s="5"/>
      <c r="AA277" s="5"/>
      <c r="AB277" s="5"/>
      <c r="AC277" s="5"/>
      <c r="AD277" s="5"/>
      <c r="AE277" s="5"/>
      <c r="AY277" s="5"/>
      <c r="AZ277" s="5"/>
      <c r="BA277" s="5"/>
      <c r="BB277" s="5"/>
      <c r="BC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</row>
    <row r="278" spans="21:230" ht="12.75">
      <c r="U278" s="5"/>
      <c r="V278" s="5"/>
      <c r="W278" s="5"/>
      <c r="X278" s="5"/>
      <c r="Y278" s="5"/>
      <c r="AA278" s="5"/>
      <c r="AB278" s="5"/>
      <c r="AC278" s="5"/>
      <c r="AD278" s="5"/>
      <c r="AE278" s="5"/>
      <c r="AY278" s="5"/>
      <c r="AZ278" s="5"/>
      <c r="BA278" s="5"/>
      <c r="BB278" s="5"/>
      <c r="BC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</row>
    <row r="279" spans="21:230" ht="12.75">
      <c r="U279" s="5"/>
      <c r="V279" s="5"/>
      <c r="W279" s="5"/>
      <c r="X279" s="5"/>
      <c r="Y279" s="5"/>
      <c r="AA279" s="5"/>
      <c r="AB279" s="5"/>
      <c r="AC279" s="5"/>
      <c r="AD279" s="5"/>
      <c r="AE279" s="5"/>
      <c r="AY279" s="5"/>
      <c r="AZ279" s="5"/>
      <c r="BA279" s="5"/>
      <c r="BB279" s="5"/>
      <c r="BC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</row>
    <row r="280" spans="21:230" ht="12.75">
      <c r="U280" s="5"/>
      <c r="V280" s="5"/>
      <c r="W280" s="5"/>
      <c r="X280" s="5"/>
      <c r="Y280" s="5"/>
      <c r="AA280" s="5"/>
      <c r="AB280" s="5"/>
      <c r="AC280" s="5"/>
      <c r="AD280" s="5"/>
      <c r="AE280" s="5"/>
      <c r="AY280" s="5"/>
      <c r="AZ280" s="5"/>
      <c r="BA280" s="5"/>
      <c r="BB280" s="5"/>
      <c r="BC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</row>
    <row r="281" spans="21:230" ht="12.75">
      <c r="U281" s="5"/>
      <c r="V281" s="5"/>
      <c r="W281" s="5"/>
      <c r="X281" s="5"/>
      <c r="Y281" s="5"/>
      <c r="AA281" s="5"/>
      <c r="AB281" s="5"/>
      <c r="AC281" s="5"/>
      <c r="AD281" s="5"/>
      <c r="AE281" s="5"/>
      <c r="AY281" s="5"/>
      <c r="AZ281" s="5"/>
      <c r="BA281" s="5"/>
      <c r="BB281" s="5"/>
      <c r="BC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</row>
    <row r="282" spans="21:230" ht="12.75">
      <c r="U282" s="5"/>
      <c r="V282" s="5"/>
      <c r="W282" s="5"/>
      <c r="X282" s="5"/>
      <c r="Y282" s="5"/>
      <c r="AA282" s="5"/>
      <c r="AB282" s="5"/>
      <c r="AC282" s="5"/>
      <c r="AD282" s="5"/>
      <c r="AE282" s="5"/>
      <c r="AY282" s="5"/>
      <c r="AZ282" s="5"/>
      <c r="BA282" s="5"/>
      <c r="BB282" s="5"/>
      <c r="BC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</row>
    <row r="283" spans="21:230" ht="12.75">
      <c r="U283" s="5"/>
      <c r="V283" s="5"/>
      <c r="W283" s="5"/>
      <c r="X283" s="5"/>
      <c r="Y283" s="5"/>
      <c r="AA283" s="5"/>
      <c r="AB283" s="5"/>
      <c r="AC283" s="5"/>
      <c r="AD283" s="5"/>
      <c r="AE283" s="5"/>
      <c r="AY283" s="5"/>
      <c r="AZ283" s="5"/>
      <c r="BA283" s="5"/>
      <c r="BB283" s="5"/>
      <c r="BC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</row>
    <row r="284" spans="21:230" ht="12.75">
      <c r="U284" s="5"/>
      <c r="V284" s="5"/>
      <c r="W284" s="5"/>
      <c r="X284" s="5"/>
      <c r="Y284" s="5"/>
      <c r="AA284" s="5"/>
      <c r="AB284" s="5"/>
      <c r="AC284" s="5"/>
      <c r="AD284" s="5"/>
      <c r="AE284" s="5"/>
      <c r="AY284" s="5"/>
      <c r="AZ284" s="5"/>
      <c r="BA284" s="5"/>
      <c r="BB284" s="5"/>
      <c r="BC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</row>
    <row r="285" spans="21:230" ht="12.75">
      <c r="U285" s="5"/>
      <c r="V285" s="5"/>
      <c r="W285" s="5"/>
      <c r="X285" s="5"/>
      <c r="Y285" s="5"/>
      <c r="AA285" s="5"/>
      <c r="AB285" s="5"/>
      <c r="AC285" s="5"/>
      <c r="AD285" s="5"/>
      <c r="AE285" s="5"/>
      <c r="AY285" s="5"/>
      <c r="AZ285" s="5"/>
      <c r="BA285" s="5"/>
      <c r="BB285" s="5"/>
      <c r="BC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</row>
    <row r="286" spans="21:230" ht="12.75">
      <c r="U286" s="5"/>
      <c r="V286" s="5"/>
      <c r="W286" s="5"/>
      <c r="X286" s="5"/>
      <c r="Y286" s="5"/>
      <c r="AA286" s="5"/>
      <c r="AB286" s="5"/>
      <c r="AC286" s="5"/>
      <c r="AD286" s="5"/>
      <c r="AE286" s="5"/>
      <c r="AY286" s="5"/>
      <c r="AZ286" s="5"/>
      <c r="BA286" s="5"/>
      <c r="BB286" s="5"/>
      <c r="BC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</row>
    <row r="287" spans="21:230" ht="12.75">
      <c r="U287" s="5"/>
      <c r="V287" s="5"/>
      <c r="W287" s="5"/>
      <c r="X287" s="5"/>
      <c r="Y287" s="5"/>
      <c r="AA287" s="5"/>
      <c r="AB287" s="5"/>
      <c r="AC287" s="5"/>
      <c r="AD287" s="5"/>
      <c r="AE287" s="5"/>
      <c r="AY287" s="5"/>
      <c r="AZ287" s="5"/>
      <c r="BA287" s="5"/>
      <c r="BB287" s="5"/>
      <c r="BC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</row>
    <row r="288" spans="21:230" ht="12.75">
      <c r="U288" s="5"/>
      <c r="V288" s="5"/>
      <c r="W288" s="5"/>
      <c r="X288" s="5"/>
      <c r="Y288" s="5"/>
      <c r="AA288" s="5"/>
      <c r="AB288" s="5"/>
      <c r="AC288" s="5"/>
      <c r="AD288" s="5"/>
      <c r="AE288" s="5"/>
      <c r="AY288" s="5"/>
      <c r="AZ288" s="5"/>
      <c r="BA288" s="5"/>
      <c r="BB288" s="5"/>
      <c r="BC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</row>
    <row r="289" spans="21:230" ht="12.75">
      <c r="U289" s="5"/>
      <c r="V289" s="5"/>
      <c r="W289" s="5"/>
      <c r="X289" s="5"/>
      <c r="Y289" s="5"/>
      <c r="AA289" s="5"/>
      <c r="AB289" s="5"/>
      <c r="AC289" s="5"/>
      <c r="AD289" s="5"/>
      <c r="AE289" s="5"/>
      <c r="AY289" s="5"/>
      <c r="AZ289" s="5"/>
      <c r="BA289" s="5"/>
      <c r="BB289" s="5"/>
      <c r="BC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</row>
    <row r="290" spans="21:230" ht="12.75">
      <c r="U290" s="5"/>
      <c r="V290" s="5"/>
      <c r="W290" s="5"/>
      <c r="X290" s="5"/>
      <c r="Y290" s="5"/>
      <c r="AA290" s="5"/>
      <c r="AB290" s="5"/>
      <c r="AC290" s="5"/>
      <c r="AD290" s="5"/>
      <c r="AE290" s="5"/>
      <c r="AY290" s="5"/>
      <c r="AZ290" s="5"/>
      <c r="BA290" s="5"/>
      <c r="BB290" s="5"/>
      <c r="BC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</row>
    <row r="291" spans="21:230" ht="12.75">
      <c r="U291" s="5"/>
      <c r="V291" s="5"/>
      <c r="W291" s="5"/>
      <c r="X291" s="5"/>
      <c r="Y291" s="5"/>
      <c r="AA291" s="5"/>
      <c r="AB291" s="5"/>
      <c r="AC291" s="5"/>
      <c r="AD291" s="5"/>
      <c r="AE291" s="5"/>
      <c r="AY291" s="5"/>
      <c r="AZ291" s="5"/>
      <c r="BA291" s="5"/>
      <c r="BB291" s="5"/>
      <c r="BC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</row>
    <row r="292" spans="21:230" ht="12.75">
      <c r="U292" s="5"/>
      <c r="V292" s="5"/>
      <c r="W292" s="5"/>
      <c r="X292" s="5"/>
      <c r="Y292" s="5"/>
      <c r="AA292" s="5"/>
      <c r="AB292" s="5"/>
      <c r="AC292" s="5"/>
      <c r="AD292" s="5"/>
      <c r="AE292" s="5"/>
      <c r="AY292" s="5"/>
      <c r="AZ292" s="5"/>
      <c r="BA292" s="5"/>
      <c r="BB292" s="5"/>
      <c r="BC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</row>
    <row r="293" spans="21:230" ht="12.75">
      <c r="U293" s="5"/>
      <c r="V293" s="5"/>
      <c r="W293" s="5"/>
      <c r="X293" s="5"/>
      <c r="Y293" s="5"/>
      <c r="AA293" s="5"/>
      <c r="AB293" s="5"/>
      <c r="AC293" s="5"/>
      <c r="AD293" s="5"/>
      <c r="AE293" s="5"/>
      <c r="AY293" s="5"/>
      <c r="AZ293" s="5"/>
      <c r="BA293" s="5"/>
      <c r="BB293" s="5"/>
      <c r="BC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</row>
    <row r="294" spans="21:230" ht="12.75">
      <c r="U294" s="5"/>
      <c r="V294" s="5"/>
      <c r="W294" s="5"/>
      <c r="X294" s="5"/>
      <c r="Y294" s="5"/>
      <c r="AA294" s="5"/>
      <c r="AB294" s="5"/>
      <c r="AC294" s="5"/>
      <c r="AD294" s="5"/>
      <c r="AE294" s="5"/>
      <c r="AY294" s="5"/>
      <c r="AZ294" s="5"/>
      <c r="BA294" s="5"/>
      <c r="BB294" s="5"/>
      <c r="BC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</row>
    <row r="295" spans="21:230" ht="12.75">
      <c r="U295" s="5"/>
      <c r="V295" s="5"/>
      <c r="W295" s="5"/>
      <c r="X295" s="5"/>
      <c r="Y295" s="5"/>
      <c r="AA295" s="5"/>
      <c r="AB295" s="5"/>
      <c r="AC295" s="5"/>
      <c r="AD295" s="5"/>
      <c r="AE295" s="5"/>
      <c r="AY295" s="5"/>
      <c r="AZ295" s="5"/>
      <c r="BA295" s="5"/>
      <c r="BB295" s="5"/>
      <c r="BC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</row>
    <row r="296" spans="21:230" ht="12.75">
      <c r="U296" s="5"/>
      <c r="V296" s="5"/>
      <c r="W296" s="5"/>
      <c r="X296" s="5"/>
      <c r="Y296" s="5"/>
      <c r="AA296" s="5"/>
      <c r="AB296" s="5"/>
      <c r="AC296" s="5"/>
      <c r="AD296" s="5"/>
      <c r="AE296" s="5"/>
      <c r="AY296" s="5"/>
      <c r="AZ296" s="5"/>
      <c r="BA296" s="5"/>
      <c r="BB296" s="5"/>
      <c r="BC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</row>
    <row r="297" spans="21:230" ht="12.75">
      <c r="U297" s="5"/>
      <c r="V297" s="5"/>
      <c r="W297" s="5"/>
      <c r="X297" s="5"/>
      <c r="Y297" s="5"/>
      <c r="AA297" s="5"/>
      <c r="AB297" s="5"/>
      <c r="AC297" s="5"/>
      <c r="AD297" s="5"/>
      <c r="AE297" s="5"/>
      <c r="AY297" s="5"/>
      <c r="AZ297" s="5"/>
      <c r="BA297" s="5"/>
      <c r="BB297" s="5"/>
      <c r="BC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</row>
    <row r="298" spans="21:230" ht="12.75">
      <c r="U298" s="5"/>
      <c r="V298" s="5"/>
      <c r="W298" s="5"/>
      <c r="X298" s="5"/>
      <c r="Y298" s="5"/>
      <c r="AA298" s="5"/>
      <c r="AB298" s="5"/>
      <c r="AC298" s="5"/>
      <c r="AD298" s="5"/>
      <c r="AE298" s="5"/>
      <c r="AY298" s="5"/>
      <c r="AZ298" s="5"/>
      <c r="BA298" s="5"/>
      <c r="BB298" s="5"/>
      <c r="BC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</row>
    <row r="299" spans="21:230" ht="12.75">
      <c r="U299" s="5"/>
      <c r="V299" s="5"/>
      <c r="W299" s="5"/>
      <c r="X299" s="5"/>
      <c r="Y299" s="5"/>
      <c r="AA299" s="5"/>
      <c r="AB299" s="5"/>
      <c r="AC299" s="5"/>
      <c r="AD299" s="5"/>
      <c r="AE299" s="5"/>
      <c r="AY299" s="5"/>
      <c r="AZ299" s="5"/>
      <c r="BA299" s="5"/>
      <c r="BB299" s="5"/>
      <c r="BC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</row>
    <row r="300" spans="21:230" ht="12.75">
      <c r="U300" s="5"/>
      <c r="V300" s="5"/>
      <c r="W300" s="5"/>
      <c r="X300" s="5"/>
      <c r="Y300" s="5"/>
      <c r="AA300" s="5"/>
      <c r="AB300" s="5"/>
      <c r="AC300" s="5"/>
      <c r="AD300" s="5"/>
      <c r="AE300" s="5"/>
      <c r="AY300" s="5"/>
      <c r="AZ300" s="5"/>
      <c r="BA300" s="5"/>
      <c r="BB300" s="5"/>
      <c r="BC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</row>
    <row r="301" spans="21:230" ht="12.75">
      <c r="U301" s="5"/>
      <c r="V301" s="5"/>
      <c r="W301" s="5"/>
      <c r="X301" s="5"/>
      <c r="Y301" s="5"/>
      <c r="AA301" s="5"/>
      <c r="AB301" s="5"/>
      <c r="AC301" s="5"/>
      <c r="AD301" s="5"/>
      <c r="AE301" s="5"/>
      <c r="AY301" s="5"/>
      <c r="AZ301" s="5"/>
      <c r="BA301" s="5"/>
      <c r="BB301" s="5"/>
      <c r="BC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</row>
    <row r="302" spans="21:230" ht="12.75">
      <c r="U302" s="5"/>
      <c r="V302" s="5"/>
      <c r="W302" s="5"/>
      <c r="X302" s="5"/>
      <c r="Y302" s="5"/>
      <c r="AA302" s="5"/>
      <c r="AB302" s="5"/>
      <c r="AC302" s="5"/>
      <c r="AD302" s="5"/>
      <c r="AE302" s="5"/>
      <c r="AY302" s="5"/>
      <c r="AZ302" s="5"/>
      <c r="BA302" s="5"/>
      <c r="BB302" s="5"/>
      <c r="BC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</row>
    <row r="303" spans="21:230" ht="12.75">
      <c r="U303" s="5"/>
      <c r="V303" s="5"/>
      <c r="W303" s="5"/>
      <c r="X303" s="5"/>
      <c r="Y303" s="5"/>
      <c r="AA303" s="5"/>
      <c r="AB303" s="5"/>
      <c r="AC303" s="5"/>
      <c r="AD303" s="5"/>
      <c r="AE303" s="5"/>
      <c r="AY303" s="5"/>
      <c r="AZ303" s="5"/>
      <c r="BA303" s="5"/>
      <c r="BB303" s="5"/>
      <c r="BC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</row>
    <row r="304" spans="21:230" ht="12.75">
      <c r="U304" s="5"/>
      <c r="V304" s="5"/>
      <c r="W304" s="5"/>
      <c r="X304" s="5"/>
      <c r="Y304" s="5"/>
      <c r="AA304" s="5"/>
      <c r="AB304" s="5"/>
      <c r="AC304" s="5"/>
      <c r="AD304" s="5"/>
      <c r="AE304" s="5"/>
      <c r="AY304" s="5"/>
      <c r="AZ304" s="5"/>
      <c r="BA304" s="5"/>
      <c r="BB304" s="5"/>
      <c r="BC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  <c r="HP304" s="5"/>
      <c r="HQ304" s="5"/>
      <c r="HR304" s="5"/>
      <c r="HS304" s="5"/>
      <c r="HT304" s="5"/>
      <c r="HU304" s="5"/>
      <c r="HV304" s="5"/>
    </row>
    <row r="305" spans="21:230" ht="12.75">
      <c r="U305" s="5"/>
      <c r="V305" s="5"/>
      <c r="W305" s="5"/>
      <c r="X305" s="5"/>
      <c r="Y305" s="5"/>
      <c r="AA305" s="5"/>
      <c r="AB305" s="5"/>
      <c r="AC305" s="5"/>
      <c r="AD305" s="5"/>
      <c r="AE305" s="5"/>
      <c r="AY305" s="5"/>
      <c r="AZ305" s="5"/>
      <c r="BA305" s="5"/>
      <c r="BB305" s="5"/>
      <c r="BC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  <c r="HP305" s="5"/>
      <c r="HQ305" s="5"/>
      <c r="HR305" s="5"/>
      <c r="HS305" s="5"/>
      <c r="HT305" s="5"/>
      <c r="HU305" s="5"/>
      <c r="HV305" s="5"/>
    </row>
    <row r="306" spans="21:230" ht="12.75">
      <c r="U306" s="5"/>
      <c r="V306" s="5"/>
      <c r="W306" s="5"/>
      <c r="X306" s="5"/>
      <c r="Y306" s="5"/>
      <c r="AA306" s="5"/>
      <c r="AB306" s="5"/>
      <c r="AC306" s="5"/>
      <c r="AD306" s="5"/>
      <c r="AE306" s="5"/>
      <c r="AY306" s="5"/>
      <c r="AZ306" s="5"/>
      <c r="BA306" s="5"/>
      <c r="BB306" s="5"/>
      <c r="BC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</row>
    <row r="307" spans="21:230" ht="12.75">
      <c r="U307" s="5"/>
      <c r="V307" s="5"/>
      <c r="W307" s="5"/>
      <c r="X307" s="5"/>
      <c r="Y307" s="5"/>
      <c r="AA307" s="5"/>
      <c r="AB307" s="5"/>
      <c r="AC307" s="5"/>
      <c r="AD307" s="5"/>
      <c r="AE307" s="5"/>
      <c r="AY307" s="5"/>
      <c r="AZ307" s="5"/>
      <c r="BA307" s="5"/>
      <c r="BB307" s="5"/>
      <c r="BC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  <c r="HT307" s="5"/>
      <c r="HU307" s="5"/>
      <c r="HV307" s="5"/>
    </row>
    <row r="308" spans="21:230" ht="12.75">
      <c r="U308" s="5"/>
      <c r="V308" s="5"/>
      <c r="W308" s="5"/>
      <c r="X308" s="5"/>
      <c r="Y308" s="5"/>
      <c r="AA308" s="5"/>
      <c r="AB308" s="5"/>
      <c r="AC308" s="5"/>
      <c r="AD308" s="5"/>
      <c r="AE308" s="5"/>
      <c r="AY308" s="5"/>
      <c r="AZ308" s="5"/>
      <c r="BA308" s="5"/>
      <c r="BB308" s="5"/>
      <c r="BC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  <c r="HP308" s="5"/>
      <c r="HQ308" s="5"/>
      <c r="HR308" s="5"/>
      <c r="HS308" s="5"/>
      <c r="HT308" s="5"/>
      <c r="HU308" s="5"/>
      <c r="HV308" s="5"/>
    </row>
    <row r="309" spans="21:230" ht="12.75">
      <c r="U309" s="5"/>
      <c r="V309" s="5"/>
      <c r="W309" s="5"/>
      <c r="X309" s="5"/>
      <c r="Y309" s="5"/>
      <c r="AA309" s="5"/>
      <c r="AB309" s="5"/>
      <c r="AC309" s="5"/>
      <c r="AD309" s="5"/>
      <c r="AE309" s="5"/>
      <c r="AY309" s="5"/>
      <c r="AZ309" s="5"/>
      <c r="BA309" s="5"/>
      <c r="BB309" s="5"/>
      <c r="BC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  <c r="HP309" s="5"/>
      <c r="HQ309" s="5"/>
      <c r="HR309" s="5"/>
      <c r="HS309" s="5"/>
      <c r="HT309" s="5"/>
      <c r="HU309" s="5"/>
      <c r="HV309" s="5"/>
    </row>
    <row r="310" spans="21:230" ht="12.75">
      <c r="U310" s="5"/>
      <c r="V310" s="5"/>
      <c r="W310" s="5"/>
      <c r="X310" s="5"/>
      <c r="Y310" s="5"/>
      <c r="AA310" s="5"/>
      <c r="AB310" s="5"/>
      <c r="AC310" s="5"/>
      <c r="AD310" s="5"/>
      <c r="AE310" s="5"/>
      <c r="AY310" s="5"/>
      <c r="AZ310" s="5"/>
      <c r="BA310" s="5"/>
      <c r="BB310" s="5"/>
      <c r="BC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</row>
    <row r="311" spans="21:230" ht="12.75">
      <c r="U311" s="5"/>
      <c r="V311" s="5"/>
      <c r="W311" s="5"/>
      <c r="X311" s="5"/>
      <c r="Y311" s="5"/>
      <c r="AA311" s="5"/>
      <c r="AB311" s="5"/>
      <c r="AC311" s="5"/>
      <c r="AD311" s="5"/>
      <c r="AE311" s="5"/>
      <c r="AY311" s="5"/>
      <c r="AZ311" s="5"/>
      <c r="BA311" s="5"/>
      <c r="BB311" s="5"/>
      <c r="BC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  <c r="HP311" s="5"/>
      <c r="HQ311" s="5"/>
      <c r="HR311" s="5"/>
      <c r="HS311" s="5"/>
      <c r="HT311" s="5"/>
      <c r="HU311" s="5"/>
      <c r="HV311" s="5"/>
    </row>
    <row r="312" spans="21:230" ht="12.75">
      <c r="U312" s="5"/>
      <c r="V312" s="5"/>
      <c r="W312" s="5"/>
      <c r="X312" s="5"/>
      <c r="Y312" s="5"/>
      <c r="AA312" s="5"/>
      <c r="AB312" s="5"/>
      <c r="AC312" s="5"/>
      <c r="AD312" s="5"/>
      <c r="AE312" s="5"/>
      <c r="AY312" s="5"/>
      <c r="AZ312" s="5"/>
      <c r="BA312" s="5"/>
      <c r="BB312" s="5"/>
      <c r="BC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</row>
    <row r="313" spans="21:230" ht="12.75">
      <c r="U313" s="5"/>
      <c r="V313" s="5"/>
      <c r="W313" s="5"/>
      <c r="X313" s="5"/>
      <c r="Y313" s="5"/>
      <c r="AA313" s="5"/>
      <c r="AB313" s="5"/>
      <c r="AC313" s="5"/>
      <c r="AD313" s="5"/>
      <c r="AE313" s="5"/>
      <c r="AY313" s="5"/>
      <c r="AZ313" s="5"/>
      <c r="BA313" s="5"/>
      <c r="BB313" s="5"/>
      <c r="BC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</row>
    <row r="314" spans="21:230" ht="12.75">
      <c r="U314" s="5"/>
      <c r="V314" s="5"/>
      <c r="W314" s="5"/>
      <c r="X314" s="5"/>
      <c r="Y314" s="5"/>
      <c r="AA314" s="5"/>
      <c r="AB314" s="5"/>
      <c r="AC314" s="5"/>
      <c r="AD314" s="5"/>
      <c r="AE314" s="5"/>
      <c r="AY314" s="5"/>
      <c r="AZ314" s="5"/>
      <c r="BA314" s="5"/>
      <c r="BB314" s="5"/>
      <c r="BC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</row>
    <row r="315" spans="21:230" ht="12.75">
      <c r="U315" s="5"/>
      <c r="V315" s="5"/>
      <c r="W315" s="5"/>
      <c r="X315" s="5"/>
      <c r="Y315" s="5"/>
      <c r="AA315" s="5"/>
      <c r="AB315" s="5"/>
      <c r="AC315" s="5"/>
      <c r="AD315" s="5"/>
      <c r="AE315" s="5"/>
      <c r="AY315" s="5"/>
      <c r="AZ315" s="5"/>
      <c r="BA315" s="5"/>
      <c r="BB315" s="5"/>
      <c r="BC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</row>
    <row r="316" spans="21:230" ht="12.75">
      <c r="U316" s="5"/>
      <c r="V316" s="5"/>
      <c r="W316" s="5"/>
      <c r="X316" s="5"/>
      <c r="Y316" s="5"/>
      <c r="AA316" s="5"/>
      <c r="AB316" s="5"/>
      <c r="AC316" s="5"/>
      <c r="AD316" s="5"/>
      <c r="AE316" s="5"/>
      <c r="AY316" s="5"/>
      <c r="AZ316" s="5"/>
      <c r="BA316" s="5"/>
      <c r="BB316" s="5"/>
      <c r="BC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  <c r="HP316" s="5"/>
      <c r="HQ316" s="5"/>
      <c r="HR316" s="5"/>
      <c r="HS316" s="5"/>
      <c r="HT316" s="5"/>
      <c r="HU316" s="5"/>
      <c r="HV316" s="5"/>
    </row>
    <row r="317" spans="21:230" ht="12.75">
      <c r="U317" s="5"/>
      <c r="V317" s="5"/>
      <c r="W317" s="5"/>
      <c r="X317" s="5"/>
      <c r="Y317" s="5"/>
      <c r="AA317" s="5"/>
      <c r="AB317" s="5"/>
      <c r="AC317" s="5"/>
      <c r="AD317" s="5"/>
      <c r="AE317" s="5"/>
      <c r="AY317" s="5"/>
      <c r="AZ317" s="5"/>
      <c r="BA317" s="5"/>
      <c r="BB317" s="5"/>
      <c r="BC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</row>
    <row r="318" spans="21:230" ht="12.75">
      <c r="U318" s="5"/>
      <c r="V318" s="5"/>
      <c r="W318" s="5"/>
      <c r="X318" s="5"/>
      <c r="Y318" s="5"/>
      <c r="AA318" s="5"/>
      <c r="AB318" s="5"/>
      <c r="AC318" s="5"/>
      <c r="AD318" s="5"/>
      <c r="AE318" s="5"/>
      <c r="AY318" s="5"/>
      <c r="AZ318" s="5"/>
      <c r="BA318" s="5"/>
      <c r="BB318" s="5"/>
      <c r="BC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</row>
    <row r="319" spans="21:230" ht="12.75">
      <c r="U319" s="5"/>
      <c r="V319" s="5"/>
      <c r="W319" s="5"/>
      <c r="X319" s="5"/>
      <c r="Y319" s="5"/>
      <c r="AA319" s="5"/>
      <c r="AB319" s="5"/>
      <c r="AC319" s="5"/>
      <c r="AD319" s="5"/>
      <c r="AE319" s="5"/>
      <c r="AY319" s="5"/>
      <c r="AZ319" s="5"/>
      <c r="BA319" s="5"/>
      <c r="BB319" s="5"/>
      <c r="BC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</row>
    <row r="320" spans="21:230" ht="12.75">
      <c r="U320" s="5"/>
      <c r="V320" s="5"/>
      <c r="W320" s="5"/>
      <c r="X320" s="5"/>
      <c r="Y320" s="5"/>
      <c r="AA320" s="5"/>
      <c r="AB320" s="5"/>
      <c r="AC320" s="5"/>
      <c r="AD320" s="5"/>
      <c r="AE320" s="5"/>
      <c r="AY320" s="5"/>
      <c r="AZ320" s="5"/>
      <c r="BA320" s="5"/>
      <c r="BB320" s="5"/>
      <c r="BC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</row>
    <row r="321" spans="21:230" ht="12.75">
      <c r="U321" s="5"/>
      <c r="V321" s="5"/>
      <c r="W321" s="5"/>
      <c r="X321" s="5"/>
      <c r="Y321" s="5"/>
      <c r="AA321" s="5"/>
      <c r="AB321" s="5"/>
      <c r="AC321" s="5"/>
      <c r="AD321" s="5"/>
      <c r="AE321" s="5"/>
      <c r="AY321" s="5"/>
      <c r="AZ321" s="5"/>
      <c r="BA321" s="5"/>
      <c r="BB321" s="5"/>
      <c r="BC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  <c r="HR321" s="5"/>
      <c r="HS321" s="5"/>
      <c r="HT321" s="5"/>
      <c r="HU321" s="5"/>
      <c r="HV321" s="5"/>
    </row>
    <row r="322" spans="21:230" ht="12.75">
      <c r="U322" s="5"/>
      <c r="V322" s="5"/>
      <c r="W322" s="5"/>
      <c r="X322" s="5"/>
      <c r="Y322" s="5"/>
      <c r="AA322" s="5"/>
      <c r="AB322" s="5"/>
      <c r="AC322" s="5"/>
      <c r="AD322" s="5"/>
      <c r="AE322" s="5"/>
      <c r="AY322" s="5"/>
      <c r="AZ322" s="5"/>
      <c r="BA322" s="5"/>
      <c r="BB322" s="5"/>
      <c r="BC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  <c r="HR322" s="5"/>
      <c r="HS322" s="5"/>
      <c r="HT322" s="5"/>
      <c r="HU322" s="5"/>
      <c r="HV322" s="5"/>
    </row>
    <row r="323" spans="21:230" ht="12.75">
      <c r="U323" s="5"/>
      <c r="V323" s="5"/>
      <c r="W323" s="5"/>
      <c r="X323" s="5"/>
      <c r="Y323" s="5"/>
      <c r="AA323" s="5"/>
      <c r="AB323" s="5"/>
      <c r="AC323" s="5"/>
      <c r="AD323" s="5"/>
      <c r="AE323" s="5"/>
      <c r="AY323" s="5"/>
      <c r="AZ323" s="5"/>
      <c r="BA323" s="5"/>
      <c r="BB323" s="5"/>
      <c r="BC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  <c r="HP323" s="5"/>
      <c r="HQ323" s="5"/>
      <c r="HR323" s="5"/>
      <c r="HS323" s="5"/>
      <c r="HT323" s="5"/>
      <c r="HU323" s="5"/>
      <c r="HV323" s="5"/>
    </row>
    <row r="324" spans="21:230" ht="12.75">
      <c r="U324" s="5"/>
      <c r="V324" s="5"/>
      <c r="W324" s="5"/>
      <c r="X324" s="5"/>
      <c r="Y324" s="5"/>
      <c r="AA324" s="5"/>
      <c r="AB324" s="5"/>
      <c r="AC324" s="5"/>
      <c r="AD324" s="5"/>
      <c r="AE324" s="5"/>
      <c r="AY324" s="5"/>
      <c r="AZ324" s="5"/>
      <c r="BA324" s="5"/>
      <c r="BB324" s="5"/>
      <c r="BC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  <c r="HP324" s="5"/>
      <c r="HQ324" s="5"/>
      <c r="HR324" s="5"/>
      <c r="HS324" s="5"/>
      <c r="HT324" s="5"/>
      <c r="HU324" s="5"/>
      <c r="HV324" s="5"/>
    </row>
    <row r="325" spans="21:230" ht="12.75">
      <c r="U325" s="5"/>
      <c r="V325" s="5"/>
      <c r="W325" s="5"/>
      <c r="X325" s="5"/>
      <c r="Y325" s="5"/>
      <c r="AA325" s="5"/>
      <c r="AB325" s="5"/>
      <c r="AC325" s="5"/>
      <c r="AD325" s="5"/>
      <c r="AE325" s="5"/>
      <c r="AY325" s="5"/>
      <c r="AZ325" s="5"/>
      <c r="BA325" s="5"/>
      <c r="BB325" s="5"/>
      <c r="BC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  <c r="HR325" s="5"/>
      <c r="HS325" s="5"/>
      <c r="HT325" s="5"/>
      <c r="HU325" s="5"/>
      <c r="HV325" s="5"/>
    </row>
    <row r="326" spans="21:230" ht="12.75">
      <c r="U326" s="5"/>
      <c r="V326" s="5"/>
      <c r="W326" s="5"/>
      <c r="X326" s="5"/>
      <c r="Y326" s="5"/>
      <c r="AA326" s="5"/>
      <c r="AB326" s="5"/>
      <c r="AC326" s="5"/>
      <c r="AD326" s="5"/>
      <c r="AE326" s="5"/>
      <c r="AY326" s="5"/>
      <c r="AZ326" s="5"/>
      <c r="BA326" s="5"/>
      <c r="BB326" s="5"/>
      <c r="BC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</row>
    <row r="327" spans="21:230" ht="12.75">
      <c r="U327" s="5"/>
      <c r="V327" s="5"/>
      <c r="W327" s="5"/>
      <c r="X327" s="5"/>
      <c r="Y327" s="5"/>
      <c r="AA327" s="5"/>
      <c r="AB327" s="5"/>
      <c r="AC327" s="5"/>
      <c r="AD327" s="5"/>
      <c r="AE327" s="5"/>
      <c r="AY327" s="5"/>
      <c r="AZ327" s="5"/>
      <c r="BA327" s="5"/>
      <c r="BB327" s="5"/>
      <c r="BC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</row>
    <row r="328" spans="21:230" ht="12.75">
      <c r="U328" s="5"/>
      <c r="V328" s="5"/>
      <c r="W328" s="5"/>
      <c r="X328" s="5"/>
      <c r="Y328" s="5"/>
      <c r="AA328" s="5"/>
      <c r="AB328" s="5"/>
      <c r="AC328" s="5"/>
      <c r="AD328" s="5"/>
      <c r="AE328" s="5"/>
      <c r="AY328" s="5"/>
      <c r="AZ328" s="5"/>
      <c r="BA328" s="5"/>
      <c r="BB328" s="5"/>
      <c r="BC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  <c r="HR328" s="5"/>
      <c r="HS328" s="5"/>
      <c r="HT328" s="5"/>
      <c r="HU328" s="5"/>
      <c r="HV328" s="5"/>
    </row>
    <row r="329" spans="21:230" ht="12.75">
      <c r="U329" s="5"/>
      <c r="V329" s="5"/>
      <c r="W329" s="5"/>
      <c r="X329" s="5"/>
      <c r="Y329" s="5"/>
      <c r="AA329" s="5"/>
      <c r="AB329" s="5"/>
      <c r="AC329" s="5"/>
      <c r="AD329" s="5"/>
      <c r="AE329" s="5"/>
      <c r="AY329" s="5"/>
      <c r="AZ329" s="5"/>
      <c r="BA329" s="5"/>
      <c r="BB329" s="5"/>
      <c r="BC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  <c r="HP329" s="5"/>
      <c r="HQ329" s="5"/>
      <c r="HR329" s="5"/>
      <c r="HS329" s="5"/>
      <c r="HT329" s="5"/>
      <c r="HU329" s="5"/>
      <c r="HV329" s="5"/>
    </row>
    <row r="330" spans="21:230" ht="12.75">
      <c r="U330" s="5"/>
      <c r="V330" s="5"/>
      <c r="W330" s="5"/>
      <c r="X330" s="5"/>
      <c r="Y330" s="5"/>
      <c r="AA330" s="5"/>
      <c r="AB330" s="5"/>
      <c r="AC330" s="5"/>
      <c r="AD330" s="5"/>
      <c r="AE330" s="5"/>
      <c r="AY330" s="5"/>
      <c r="AZ330" s="5"/>
      <c r="BA330" s="5"/>
      <c r="BB330" s="5"/>
      <c r="BC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  <c r="HP330" s="5"/>
      <c r="HQ330" s="5"/>
      <c r="HR330" s="5"/>
      <c r="HS330" s="5"/>
      <c r="HT330" s="5"/>
      <c r="HU330" s="5"/>
      <c r="HV330" s="5"/>
    </row>
    <row r="331" spans="21:230" ht="12.75">
      <c r="U331" s="5"/>
      <c r="V331" s="5"/>
      <c r="W331" s="5"/>
      <c r="X331" s="5"/>
      <c r="Y331" s="5"/>
      <c r="AA331" s="5"/>
      <c r="AB331" s="5"/>
      <c r="AC331" s="5"/>
      <c r="AD331" s="5"/>
      <c r="AE331" s="5"/>
      <c r="AY331" s="5"/>
      <c r="AZ331" s="5"/>
      <c r="BA331" s="5"/>
      <c r="BB331" s="5"/>
      <c r="BC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  <c r="HP331" s="5"/>
      <c r="HQ331" s="5"/>
      <c r="HR331" s="5"/>
      <c r="HS331" s="5"/>
      <c r="HT331" s="5"/>
      <c r="HU331" s="5"/>
      <c r="HV331" s="5"/>
    </row>
    <row r="332" spans="21:230" ht="12.75">
      <c r="U332" s="5"/>
      <c r="V332" s="5"/>
      <c r="W332" s="5"/>
      <c r="X332" s="5"/>
      <c r="Y332" s="5"/>
      <c r="AA332" s="5"/>
      <c r="AB332" s="5"/>
      <c r="AC332" s="5"/>
      <c r="AD332" s="5"/>
      <c r="AE332" s="5"/>
      <c r="AY332" s="5"/>
      <c r="AZ332" s="5"/>
      <c r="BA332" s="5"/>
      <c r="BB332" s="5"/>
      <c r="BC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  <c r="HP332" s="5"/>
      <c r="HQ332" s="5"/>
      <c r="HR332" s="5"/>
      <c r="HS332" s="5"/>
      <c r="HT332" s="5"/>
      <c r="HU332" s="5"/>
      <c r="HV332" s="5"/>
    </row>
    <row r="333" spans="21:230" ht="12.75">
      <c r="U333" s="5"/>
      <c r="V333" s="5"/>
      <c r="W333" s="5"/>
      <c r="X333" s="5"/>
      <c r="Y333" s="5"/>
      <c r="AA333" s="5"/>
      <c r="AB333" s="5"/>
      <c r="AC333" s="5"/>
      <c r="AD333" s="5"/>
      <c r="AE333" s="5"/>
      <c r="AY333" s="5"/>
      <c r="AZ333" s="5"/>
      <c r="BA333" s="5"/>
      <c r="BB333" s="5"/>
      <c r="BC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  <c r="HM333" s="5"/>
      <c r="HN333" s="5"/>
      <c r="HO333" s="5"/>
      <c r="HP333" s="5"/>
      <c r="HQ333" s="5"/>
      <c r="HR333" s="5"/>
      <c r="HS333" s="5"/>
      <c r="HT333" s="5"/>
      <c r="HU333" s="5"/>
      <c r="HV333" s="5"/>
    </row>
    <row r="334" spans="21:230" ht="12.75">
      <c r="U334" s="5"/>
      <c r="V334" s="5"/>
      <c r="W334" s="5"/>
      <c r="X334" s="5"/>
      <c r="Y334" s="5"/>
      <c r="AA334" s="5"/>
      <c r="AB334" s="5"/>
      <c r="AC334" s="5"/>
      <c r="AD334" s="5"/>
      <c r="AE334" s="5"/>
      <c r="AY334" s="5"/>
      <c r="AZ334" s="5"/>
      <c r="BA334" s="5"/>
      <c r="BB334" s="5"/>
      <c r="BC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  <c r="GY334" s="5"/>
      <c r="GZ334" s="5"/>
      <c r="HA334" s="5"/>
      <c r="HB334" s="5"/>
      <c r="HC334" s="5"/>
      <c r="HD334" s="5"/>
      <c r="HE334" s="5"/>
      <c r="HF334" s="5"/>
      <c r="HG334" s="5"/>
      <c r="HH334" s="5"/>
      <c r="HI334" s="5"/>
      <c r="HJ334" s="5"/>
      <c r="HK334" s="5"/>
      <c r="HL334" s="5"/>
      <c r="HM334" s="5"/>
      <c r="HN334" s="5"/>
      <c r="HO334" s="5"/>
      <c r="HP334" s="5"/>
      <c r="HQ334" s="5"/>
      <c r="HR334" s="5"/>
      <c r="HS334" s="5"/>
      <c r="HT334" s="5"/>
      <c r="HU334" s="5"/>
      <c r="HV334" s="5"/>
    </row>
    <row r="335" spans="21:230" ht="12.75">
      <c r="U335" s="5"/>
      <c r="V335" s="5"/>
      <c r="W335" s="5"/>
      <c r="X335" s="5"/>
      <c r="Y335" s="5"/>
      <c r="AA335" s="5"/>
      <c r="AB335" s="5"/>
      <c r="AC335" s="5"/>
      <c r="AD335" s="5"/>
      <c r="AE335" s="5"/>
      <c r="AY335" s="5"/>
      <c r="AZ335" s="5"/>
      <c r="BA335" s="5"/>
      <c r="BB335" s="5"/>
      <c r="BC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  <c r="GW335" s="5"/>
      <c r="GX335" s="5"/>
      <c r="GY335" s="5"/>
      <c r="GZ335" s="5"/>
      <c r="HA335" s="5"/>
      <c r="HB335" s="5"/>
      <c r="HC335" s="5"/>
      <c r="HD335" s="5"/>
      <c r="HE335" s="5"/>
      <c r="HF335" s="5"/>
      <c r="HG335" s="5"/>
      <c r="HH335" s="5"/>
      <c r="HI335" s="5"/>
      <c r="HJ335" s="5"/>
      <c r="HK335" s="5"/>
      <c r="HL335" s="5"/>
      <c r="HM335" s="5"/>
      <c r="HN335" s="5"/>
      <c r="HO335" s="5"/>
      <c r="HP335" s="5"/>
      <c r="HQ335" s="5"/>
      <c r="HR335" s="5"/>
      <c r="HS335" s="5"/>
      <c r="HT335" s="5"/>
      <c r="HU335" s="5"/>
      <c r="HV335" s="5"/>
    </row>
    <row r="336" spans="21:230" ht="12.75">
      <c r="U336" s="5"/>
      <c r="V336" s="5"/>
      <c r="W336" s="5"/>
      <c r="X336" s="5"/>
      <c r="Y336" s="5"/>
      <c r="AA336" s="5"/>
      <c r="AB336" s="5"/>
      <c r="AC336" s="5"/>
      <c r="AD336" s="5"/>
      <c r="AE336" s="5"/>
      <c r="AY336" s="5"/>
      <c r="AZ336" s="5"/>
      <c r="BA336" s="5"/>
      <c r="BB336" s="5"/>
      <c r="BC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  <c r="GR336" s="5"/>
      <c r="GS336" s="5"/>
      <c r="GT336" s="5"/>
      <c r="GU336" s="5"/>
      <c r="GV336" s="5"/>
      <c r="GW336" s="5"/>
      <c r="GX336" s="5"/>
      <c r="GY336" s="5"/>
      <c r="GZ336" s="5"/>
      <c r="HA336" s="5"/>
      <c r="HB336" s="5"/>
      <c r="HC336" s="5"/>
      <c r="HD336" s="5"/>
      <c r="HE336" s="5"/>
      <c r="HF336" s="5"/>
      <c r="HG336" s="5"/>
      <c r="HH336" s="5"/>
      <c r="HI336" s="5"/>
      <c r="HJ336" s="5"/>
      <c r="HK336" s="5"/>
      <c r="HL336" s="5"/>
      <c r="HM336" s="5"/>
      <c r="HN336" s="5"/>
      <c r="HO336" s="5"/>
      <c r="HP336" s="5"/>
      <c r="HQ336" s="5"/>
      <c r="HR336" s="5"/>
      <c r="HS336" s="5"/>
      <c r="HT336" s="5"/>
      <c r="HU336" s="5"/>
      <c r="HV336" s="5"/>
    </row>
    <row r="337" spans="21:230" ht="12.75">
      <c r="U337" s="5"/>
      <c r="V337" s="5"/>
      <c r="W337" s="5"/>
      <c r="X337" s="5"/>
      <c r="Y337" s="5"/>
      <c r="AA337" s="5"/>
      <c r="AB337" s="5"/>
      <c r="AC337" s="5"/>
      <c r="AD337" s="5"/>
      <c r="AE337" s="5"/>
      <c r="AY337" s="5"/>
      <c r="AZ337" s="5"/>
      <c r="BA337" s="5"/>
      <c r="BB337" s="5"/>
      <c r="BC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  <c r="GW337" s="5"/>
      <c r="GX337" s="5"/>
      <c r="GY337" s="5"/>
      <c r="GZ337" s="5"/>
      <c r="HA337" s="5"/>
      <c r="HB337" s="5"/>
      <c r="HC337" s="5"/>
      <c r="HD337" s="5"/>
      <c r="HE337" s="5"/>
      <c r="HF337" s="5"/>
      <c r="HG337" s="5"/>
      <c r="HH337" s="5"/>
      <c r="HI337" s="5"/>
      <c r="HJ337" s="5"/>
      <c r="HK337" s="5"/>
      <c r="HL337" s="5"/>
      <c r="HM337" s="5"/>
      <c r="HN337" s="5"/>
      <c r="HO337" s="5"/>
      <c r="HP337" s="5"/>
      <c r="HQ337" s="5"/>
      <c r="HR337" s="5"/>
      <c r="HS337" s="5"/>
      <c r="HT337" s="5"/>
      <c r="HU337" s="5"/>
      <c r="HV337" s="5"/>
    </row>
    <row r="338" spans="21:230" ht="12.75">
      <c r="U338" s="5"/>
      <c r="V338" s="5"/>
      <c r="W338" s="5"/>
      <c r="X338" s="5"/>
      <c r="Y338" s="5"/>
      <c r="AA338" s="5"/>
      <c r="AB338" s="5"/>
      <c r="AC338" s="5"/>
      <c r="AD338" s="5"/>
      <c r="AE338" s="5"/>
      <c r="AY338" s="5"/>
      <c r="AZ338" s="5"/>
      <c r="BA338" s="5"/>
      <c r="BB338" s="5"/>
      <c r="BC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  <c r="GW338" s="5"/>
      <c r="GX338" s="5"/>
      <c r="GY338" s="5"/>
      <c r="GZ338" s="5"/>
      <c r="HA338" s="5"/>
      <c r="HB338" s="5"/>
      <c r="HC338" s="5"/>
      <c r="HD338" s="5"/>
      <c r="HE338" s="5"/>
      <c r="HF338" s="5"/>
      <c r="HG338" s="5"/>
      <c r="HH338" s="5"/>
      <c r="HI338" s="5"/>
      <c r="HJ338" s="5"/>
      <c r="HK338" s="5"/>
      <c r="HL338" s="5"/>
      <c r="HM338" s="5"/>
      <c r="HN338" s="5"/>
      <c r="HO338" s="5"/>
      <c r="HP338" s="5"/>
      <c r="HQ338" s="5"/>
      <c r="HR338" s="5"/>
      <c r="HS338" s="5"/>
      <c r="HT338" s="5"/>
      <c r="HU338" s="5"/>
      <c r="HV338" s="5"/>
    </row>
    <row r="339" spans="21:230" ht="12.75">
      <c r="U339" s="5"/>
      <c r="V339" s="5"/>
      <c r="W339" s="5"/>
      <c r="X339" s="5"/>
      <c r="Y339" s="5"/>
      <c r="AA339" s="5"/>
      <c r="AB339" s="5"/>
      <c r="AC339" s="5"/>
      <c r="AD339" s="5"/>
      <c r="AE339" s="5"/>
      <c r="AY339" s="5"/>
      <c r="AZ339" s="5"/>
      <c r="BA339" s="5"/>
      <c r="BB339" s="5"/>
      <c r="BC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  <c r="GR339" s="5"/>
      <c r="GS339" s="5"/>
      <c r="GT339" s="5"/>
      <c r="GU339" s="5"/>
      <c r="GV339" s="5"/>
      <c r="GW339" s="5"/>
      <c r="GX339" s="5"/>
      <c r="GY339" s="5"/>
      <c r="GZ339" s="5"/>
      <c r="HA339" s="5"/>
      <c r="HB339" s="5"/>
      <c r="HC339" s="5"/>
      <c r="HD339" s="5"/>
      <c r="HE339" s="5"/>
      <c r="HF339" s="5"/>
      <c r="HG339" s="5"/>
      <c r="HH339" s="5"/>
      <c r="HI339" s="5"/>
      <c r="HJ339" s="5"/>
      <c r="HK339" s="5"/>
      <c r="HL339" s="5"/>
      <c r="HM339" s="5"/>
      <c r="HN339" s="5"/>
      <c r="HO339" s="5"/>
      <c r="HP339" s="5"/>
      <c r="HQ339" s="5"/>
      <c r="HR339" s="5"/>
      <c r="HS339" s="5"/>
      <c r="HT339" s="5"/>
      <c r="HU339" s="5"/>
      <c r="HV339" s="5"/>
    </row>
    <row r="340" spans="21:230" ht="12.75">
      <c r="U340" s="5"/>
      <c r="V340" s="5"/>
      <c r="W340" s="5"/>
      <c r="X340" s="5"/>
      <c r="Y340" s="5"/>
      <c r="AA340" s="5"/>
      <c r="AB340" s="5"/>
      <c r="AC340" s="5"/>
      <c r="AD340" s="5"/>
      <c r="AE340" s="5"/>
      <c r="AY340" s="5"/>
      <c r="AZ340" s="5"/>
      <c r="BA340" s="5"/>
      <c r="BB340" s="5"/>
      <c r="BC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  <c r="GR340" s="5"/>
      <c r="GS340" s="5"/>
      <c r="GT340" s="5"/>
      <c r="GU340" s="5"/>
      <c r="GV340" s="5"/>
      <c r="GW340" s="5"/>
      <c r="GX340" s="5"/>
      <c r="GY340" s="5"/>
      <c r="GZ340" s="5"/>
      <c r="HA340" s="5"/>
      <c r="HB340" s="5"/>
      <c r="HC340" s="5"/>
      <c r="HD340" s="5"/>
      <c r="HE340" s="5"/>
      <c r="HF340" s="5"/>
      <c r="HG340" s="5"/>
      <c r="HH340" s="5"/>
      <c r="HI340" s="5"/>
      <c r="HJ340" s="5"/>
      <c r="HK340" s="5"/>
      <c r="HL340" s="5"/>
      <c r="HM340" s="5"/>
      <c r="HN340" s="5"/>
      <c r="HO340" s="5"/>
      <c r="HP340" s="5"/>
      <c r="HQ340" s="5"/>
      <c r="HR340" s="5"/>
      <c r="HS340" s="5"/>
      <c r="HT340" s="5"/>
      <c r="HU340" s="5"/>
      <c r="HV340" s="5"/>
    </row>
    <row r="341" spans="21:230" ht="12.75">
      <c r="U341" s="5"/>
      <c r="V341" s="5"/>
      <c r="W341" s="5"/>
      <c r="X341" s="5"/>
      <c r="Y341" s="5"/>
      <c r="AA341" s="5"/>
      <c r="AB341" s="5"/>
      <c r="AC341" s="5"/>
      <c r="AD341" s="5"/>
      <c r="AE341" s="5"/>
      <c r="AY341" s="5"/>
      <c r="AZ341" s="5"/>
      <c r="BA341" s="5"/>
      <c r="BB341" s="5"/>
      <c r="BC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  <c r="GR341" s="5"/>
      <c r="GS341" s="5"/>
      <c r="GT341" s="5"/>
      <c r="GU341" s="5"/>
      <c r="GV341" s="5"/>
      <c r="GW341" s="5"/>
      <c r="GX341" s="5"/>
      <c r="GY341" s="5"/>
      <c r="GZ341" s="5"/>
      <c r="HA341" s="5"/>
      <c r="HB341" s="5"/>
      <c r="HC341" s="5"/>
      <c r="HD341" s="5"/>
      <c r="HE341" s="5"/>
      <c r="HF341" s="5"/>
      <c r="HG341" s="5"/>
      <c r="HH341" s="5"/>
      <c r="HI341" s="5"/>
      <c r="HJ341" s="5"/>
      <c r="HK341" s="5"/>
      <c r="HL341" s="5"/>
      <c r="HM341" s="5"/>
      <c r="HN341" s="5"/>
      <c r="HO341" s="5"/>
      <c r="HP341" s="5"/>
      <c r="HQ341" s="5"/>
      <c r="HR341" s="5"/>
      <c r="HS341" s="5"/>
      <c r="HT341" s="5"/>
      <c r="HU341" s="5"/>
      <c r="HV341" s="5"/>
    </row>
    <row r="342" spans="21:230" ht="12.75">
      <c r="U342" s="5"/>
      <c r="V342" s="5"/>
      <c r="W342" s="5"/>
      <c r="X342" s="5"/>
      <c r="Y342" s="5"/>
      <c r="AA342" s="5"/>
      <c r="AB342" s="5"/>
      <c r="AC342" s="5"/>
      <c r="AD342" s="5"/>
      <c r="AE342" s="5"/>
      <c r="AY342" s="5"/>
      <c r="AZ342" s="5"/>
      <c r="BA342" s="5"/>
      <c r="BB342" s="5"/>
      <c r="BC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  <c r="GL342" s="5"/>
      <c r="GM342" s="5"/>
      <c r="GN342" s="5"/>
      <c r="GO342" s="5"/>
      <c r="GP342" s="5"/>
      <c r="GQ342" s="5"/>
      <c r="GR342" s="5"/>
      <c r="GS342" s="5"/>
      <c r="GT342" s="5"/>
      <c r="GU342" s="5"/>
      <c r="GV342" s="5"/>
      <c r="GW342" s="5"/>
      <c r="GX342" s="5"/>
      <c r="GY342" s="5"/>
      <c r="GZ342" s="5"/>
      <c r="HA342" s="5"/>
      <c r="HB342" s="5"/>
      <c r="HC342" s="5"/>
      <c r="HD342" s="5"/>
      <c r="HE342" s="5"/>
      <c r="HF342" s="5"/>
      <c r="HG342" s="5"/>
      <c r="HH342" s="5"/>
      <c r="HI342" s="5"/>
      <c r="HJ342" s="5"/>
      <c r="HK342" s="5"/>
      <c r="HL342" s="5"/>
      <c r="HM342" s="5"/>
      <c r="HN342" s="5"/>
      <c r="HO342" s="5"/>
      <c r="HP342" s="5"/>
      <c r="HQ342" s="5"/>
      <c r="HR342" s="5"/>
      <c r="HS342" s="5"/>
      <c r="HT342" s="5"/>
      <c r="HU342" s="5"/>
      <c r="HV342" s="5"/>
    </row>
    <row r="343" spans="21:230" ht="12.75">
      <c r="U343" s="5"/>
      <c r="V343" s="5"/>
      <c r="W343" s="5"/>
      <c r="X343" s="5"/>
      <c r="Y343" s="5"/>
      <c r="AA343" s="5"/>
      <c r="AB343" s="5"/>
      <c r="AC343" s="5"/>
      <c r="AD343" s="5"/>
      <c r="AE343" s="5"/>
      <c r="AY343" s="5"/>
      <c r="AZ343" s="5"/>
      <c r="BA343" s="5"/>
      <c r="BB343" s="5"/>
      <c r="BC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  <c r="GL343" s="5"/>
      <c r="GM343" s="5"/>
      <c r="GN343" s="5"/>
      <c r="GO343" s="5"/>
      <c r="GP343" s="5"/>
      <c r="GQ343" s="5"/>
      <c r="GR343" s="5"/>
      <c r="GS343" s="5"/>
      <c r="GT343" s="5"/>
      <c r="GU343" s="5"/>
      <c r="GV343" s="5"/>
      <c r="GW343" s="5"/>
      <c r="GX343" s="5"/>
      <c r="GY343" s="5"/>
      <c r="GZ343" s="5"/>
      <c r="HA343" s="5"/>
      <c r="HB343" s="5"/>
      <c r="HC343" s="5"/>
      <c r="HD343" s="5"/>
      <c r="HE343" s="5"/>
      <c r="HF343" s="5"/>
      <c r="HG343" s="5"/>
      <c r="HH343" s="5"/>
      <c r="HI343" s="5"/>
      <c r="HJ343" s="5"/>
      <c r="HK343" s="5"/>
      <c r="HL343" s="5"/>
      <c r="HM343" s="5"/>
      <c r="HN343" s="5"/>
      <c r="HO343" s="5"/>
      <c r="HP343" s="5"/>
      <c r="HQ343" s="5"/>
      <c r="HR343" s="5"/>
      <c r="HS343" s="5"/>
      <c r="HT343" s="5"/>
      <c r="HU343" s="5"/>
      <c r="HV343" s="5"/>
    </row>
    <row r="344" spans="21:230" ht="12.75">
      <c r="U344" s="5"/>
      <c r="V344" s="5"/>
      <c r="W344" s="5"/>
      <c r="X344" s="5"/>
      <c r="Y344" s="5"/>
      <c r="AA344" s="5"/>
      <c r="AB344" s="5"/>
      <c r="AC344" s="5"/>
      <c r="AD344" s="5"/>
      <c r="AE344" s="5"/>
      <c r="AY344" s="5"/>
      <c r="AZ344" s="5"/>
      <c r="BA344" s="5"/>
      <c r="BB344" s="5"/>
      <c r="BC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  <c r="GR344" s="5"/>
      <c r="GS344" s="5"/>
      <c r="GT344" s="5"/>
      <c r="GU344" s="5"/>
      <c r="GV344" s="5"/>
      <c r="GW344" s="5"/>
      <c r="GX344" s="5"/>
      <c r="GY344" s="5"/>
      <c r="GZ344" s="5"/>
      <c r="HA344" s="5"/>
      <c r="HB344" s="5"/>
      <c r="HC344" s="5"/>
      <c r="HD344" s="5"/>
      <c r="HE344" s="5"/>
      <c r="HF344" s="5"/>
      <c r="HG344" s="5"/>
      <c r="HH344" s="5"/>
      <c r="HI344" s="5"/>
      <c r="HJ344" s="5"/>
      <c r="HK344" s="5"/>
      <c r="HL344" s="5"/>
      <c r="HM344" s="5"/>
      <c r="HN344" s="5"/>
      <c r="HO344" s="5"/>
      <c r="HP344" s="5"/>
      <c r="HQ344" s="5"/>
      <c r="HR344" s="5"/>
      <c r="HS344" s="5"/>
      <c r="HT344" s="5"/>
      <c r="HU344" s="5"/>
      <c r="HV344" s="5"/>
    </row>
    <row r="345" spans="21:230" ht="12.75">
      <c r="U345" s="5"/>
      <c r="V345" s="5"/>
      <c r="W345" s="5"/>
      <c r="X345" s="5"/>
      <c r="Y345" s="5"/>
      <c r="AA345" s="5"/>
      <c r="AB345" s="5"/>
      <c r="AC345" s="5"/>
      <c r="AD345" s="5"/>
      <c r="AE345" s="5"/>
      <c r="AY345" s="5"/>
      <c r="AZ345" s="5"/>
      <c r="BA345" s="5"/>
      <c r="BB345" s="5"/>
      <c r="BC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  <c r="GR345" s="5"/>
      <c r="GS345" s="5"/>
      <c r="GT345" s="5"/>
      <c r="GU345" s="5"/>
      <c r="GV345" s="5"/>
      <c r="GW345" s="5"/>
      <c r="GX345" s="5"/>
      <c r="GY345" s="5"/>
      <c r="GZ345" s="5"/>
      <c r="HA345" s="5"/>
      <c r="HB345" s="5"/>
      <c r="HC345" s="5"/>
      <c r="HD345" s="5"/>
      <c r="HE345" s="5"/>
      <c r="HF345" s="5"/>
      <c r="HG345" s="5"/>
      <c r="HH345" s="5"/>
      <c r="HI345" s="5"/>
      <c r="HJ345" s="5"/>
      <c r="HK345" s="5"/>
      <c r="HL345" s="5"/>
      <c r="HM345" s="5"/>
      <c r="HN345" s="5"/>
      <c r="HO345" s="5"/>
      <c r="HP345" s="5"/>
      <c r="HQ345" s="5"/>
      <c r="HR345" s="5"/>
      <c r="HS345" s="5"/>
      <c r="HT345" s="5"/>
      <c r="HU345" s="5"/>
      <c r="HV345" s="5"/>
    </row>
    <row r="346" spans="21:230" ht="12.75">
      <c r="U346" s="5"/>
      <c r="V346" s="5"/>
      <c r="W346" s="5"/>
      <c r="X346" s="5"/>
      <c r="Y346" s="5"/>
      <c r="AA346" s="5"/>
      <c r="AB346" s="5"/>
      <c r="AC346" s="5"/>
      <c r="AD346" s="5"/>
      <c r="AE346" s="5"/>
      <c r="AY346" s="5"/>
      <c r="AZ346" s="5"/>
      <c r="BA346" s="5"/>
      <c r="BB346" s="5"/>
      <c r="BC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  <c r="GR346" s="5"/>
      <c r="GS346" s="5"/>
      <c r="GT346" s="5"/>
      <c r="GU346" s="5"/>
      <c r="GV346" s="5"/>
      <c r="GW346" s="5"/>
      <c r="GX346" s="5"/>
      <c r="GY346" s="5"/>
      <c r="GZ346" s="5"/>
      <c r="HA346" s="5"/>
      <c r="HB346" s="5"/>
      <c r="HC346" s="5"/>
      <c r="HD346" s="5"/>
      <c r="HE346" s="5"/>
      <c r="HF346" s="5"/>
      <c r="HG346" s="5"/>
      <c r="HH346" s="5"/>
      <c r="HI346" s="5"/>
      <c r="HJ346" s="5"/>
      <c r="HK346" s="5"/>
      <c r="HL346" s="5"/>
      <c r="HM346" s="5"/>
      <c r="HN346" s="5"/>
      <c r="HO346" s="5"/>
      <c r="HP346" s="5"/>
      <c r="HQ346" s="5"/>
      <c r="HR346" s="5"/>
      <c r="HS346" s="5"/>
      <c r="HT346" s="5"/>
      <c r="HU346" s="5"/>
      <c r="HV346" s="5"/>
    </row>
    <row r="347" spans="21:230" ht="12.75">
      <c r="U347" s="5"/>
      <c r="V347" s="5"/>
      <c r="W347" s="5"/>
      <c r="X347" s="5"/>
      <c r="Y347" s="5"/>
      <c r="AA347" s="5"/>
      <c r="AB347" s="5"/>
      <c r="AC347" s="5"/>
      <c r="AD347" s="5"/>
      <c r="AE347" s="5"/>
      <c r="AY347" s="5"/>
      <c r="AZ347" s="5"/>
      <c r="BA347" s="5"/>
      <c r="BB347" s="5"/>
      <c r="BC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  <c r="GR347" s="5"/>
      <c r="GS347" s="5"/>
      <c r="GT347" s="5"/>
      <c r="GU347" s="5"/>
      <c r="GV347" s="5"/>
      <c r="GW347" s="5"/>
      <c r="GX347" s="5"/>
      <c r="GY347" s="5"/>
      <c r="GZ347" s="5"/>
      <c r="HA347" s="5"/>
      <c r="HB347" s="5"/>
      <c r="HC347" s="5"/>
      <c r="HD347" s="5"/>
      <c r="HE347" s="5"/>
      <c r="HF347" s="5"/>
      <c r="HG347" s="5"/>
      <c r="HH347" s="5"/>
      <c r="HI347" s="5"/>
      <c r="HJ347" s="5"/>
      <c r="HK347" s="5"/>
      <c r="HL347" s="5"/>
      <c r="HM347" s="5"/>
      <c r="HN347" s="5"/>
      <c r="HO347" s="5"/>
      <c r="HP347" s="5"/>
      <c r="HQ347" s="5"/>
      <c r="HR347" s="5"/>
      <c r="HS347" s="5"/>
      <c r="HT347" s="5"/>
      <c r="HU347" s="5"/>
      <c r="HV347" s="5"/>
    </row>
    <row r="348" spans="21:230" ht="12.75">
      <c r="U348" s="5"/>
      <c r="V348" s="5"/>
      <c r="W348" s="5"/>
      <c r="X348" s="5"/>
      <c r="Y348" s="5"/>
      <c r="AA348" s="5"/>
      <c r="AB348" s="5"/>
      <c r="AC348" s="5"/>
      <c r="AD348" s="5"/>
      <c r="AE348" s="5"/>
      <c r="AY348" s="5"/>
      <c r="AZ348" s="5"/>
      <c r="BA348" s="5"/>
      <c r="BB348" s="5"/>
      <c r="BC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  <c r="GR348" s="5"/>
      <c r="GS348" s="5"/>
      <c r="GT348" s="5"/>
      <c r="GU348" s="5"/>
      <c r="GV348" s="5"/>
      <c r="GW348" s="5"/>
      <c r="GX348" s="5"/>
      <c r="GY348" s="5"/>
      <c r="GZ348" s="5"/>
      <c r="HA348" s="5"/>
      <c r="HB348" s="5"/>
      <c r="HC348" s="5"/>
      <c r="HD348" s="5"/>
      <c r="HE348" s="5"/>
      <c r="HF348" s="5"/>
      <c r="HG348" s="5"/>
      <c r="HH348" s="5"/>
      <c r="HI348" s="5"/>
      <c r="HJ348" s="5"/>
      <c r="HK348" s="5"/>
      <c r="HL348" s="5"/>
      <c r="HM348" s="5"/>
      <c r="HN348" s="5"/>
      <c r="HO348" s="5"/>
      <c r="HP348" s="5"/>
      <c r="HQ348" s="5"/>
      <c r="HR348" s="5"/>
      <c r="HS348" s="5"/>
      <c r="HT348" s="5"/>
      <c r="HU348" s="5"/>
      <c r="HV348" s="5"/>
    </row>
    <row r="349" spans="21:230" ht="12.75">
      <c r="U349" s="5"/>
      <c r="V349" s="5"/>
      <c r="W349" s="5"/>
      <c r="X349" s="5"/>
      <c r="Y349" s="5"/>
      <c r="AA349" s="5"/>
      <c r="AB349" s="5"/>
      <c r="AC349" s="5"/>
      <c r="AD349" s="5"/>
      <c r="AE349" s="5"/>
      <c r="AY349" s="5"/>
      <c r="AZ349" s="5"/>
      <c r="BA349" s="5"/>
      <c r="BB349" s="5"/>
      <c r="BC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</row>
    <row r="350" spans="21:230" ht="12.75">
      <c r="U350" s="5"/>
      <c r="V350" s="5"/>
      <c r="W350" s="5"/>
      <c r="X350" s="5"/>
      <c r="Y350" s="5"/>
      <c r="AA350" s="5"/>
      <c r="AB350" s="5"/>
      <c r="AC350" s="5"/>
      <c r="AD350" s="5"/>
      <c r="AE350" s="5"/>
      <c r="AY350" s="5"/>
      <c r="AZ350" s="5"/>
      <c r="BA350" s="5"/>
      <c r="BB350" s="5"/>
      <c r="BC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</row>
    <row r="351" spans="21:230" ht="12.75">
      <c r="U351" s="5"/>
      <c r="V351" s="5"/>
      <c r="W351" s="5"/>
      <c r="X351" s="5"/>
      <c r="Y351" s="5"/>
      <c r="AA351" s="5"/>
      <c r="AB351" s="5"/>
      <c r="AC351" s="5"/>
      <c r="AD351" s="5"/>
      <c r="AE351" s="5"/>
      <c r="AY351" s="5"/>
      <c r="AZ351" s="5"/>
      <c r="BA351" s="5"/>
      <c r="BB351" s="5"/>
      <c r="BC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</row>
    <row r="352" spans="21:230" ht="12.75">
      <c r="U352" s="5"/>
      <c r="V352" s="5"/>
      <c r="W352" s="5"/>
      <c r="X352" s="5"/>
      <c r="Y352" s="5"/>
      <c r="AA352" s="5"/>
      <c r="AB352" s="5"/>
      <c r="AC352" s="5"/>
      <c r="AD352" s="5"/>
      <c r="AE352" s="5"/>
      <c r="AY352" s="5"/>
      <c r="AZ352" s="5"/>
      <c r="BA352" s="5"/>
      <c r="BB352" s="5"/>
      <c r="BC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</row>
    <row r="353" spans="21:230" ht="12.75">
      <c r="U353" s="5"/>
      <c r="V353" s="5"/>
      <c r="W353" s="5"/>
      <c r="X353" s="5"/>
      <c r="Y353" s="5"/>
      <c r="AA353" s="5"/>
      <c r="AB353" s="5"/>
      <c r="AC353" s="5"/>
      <c r="AD353" s="5"/>
      <c r="AE353" s="5"/>
      <c r="AY353" s="5"/>
      <c r="AZ353" s="5"/>
      <c r="BA353" s="5"/>
      <c r="BB353" s="5"/>
      <c r="BC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  <c r="GR353" s="5"/>
      <c r="GS353" s="5"/>
      <c r="GT353" s="5"/>
      <c r="GU353" s="5"/>
      <c r="GV353" s="5"/>
      <c r="GW353" s="5"/>
      <c r="GX353" s="5"/>
      <c r="GY353" s="5"/>
      <c r="GZ353" s="5"/>
      <c r="HA353" s="5"/>
      <c r="HB353" s="5"/>
      <c r="HC353" s="5"/>
      <c r="HD353" s="5"/>
      <c r="HE353" s="5"/>
      <c r="HF353" s="5"/>
      <c r="HG353" s="5"/>
      <c r="HH353" s="5"/>
      <c r="HI353" s="5"/>
      <c r="HJ353" s="5"/>
      <c r="HK353" s="5"/>
      <c r="HL353" s="5"/>
      <c r="HM353" s="5"/>
      <c r="HN353" s="5"/>
      <c r="HO353" s="5"/>
      <c r="HP353" s="5"/>
      <c r="HQ353" s="5"/>
      <c r="HR353" s="5"/>
      <c r="HS353" s="5"/>
      <c r="HT353" s="5"/>
      <c r="HU353" s="5"/>
      <c r="HV353" s="5"/>
    </row>
    <row r="354" spans="21:230" ht="12.75">
      <c r="U354" s="5"/>
      <c r="V354" s="5"/>
      <c r="W354" s="5"/>
      <c r="X354" s="5"/>
      <c r="Y354" s="5"/>
      <c r="AA354" s="5"/>
      <c r="AB354" s="5"/>
      <c r="AC354" s="5"/>
      <c r="AD354" s="5"/>
      <c r="AE354" s="5"/>
      <c r="AY354" s="5"/>
      <c r="AZ354" s="5"/>
      <c r="BA354" s="5"/>
      <c r="BB354" s="5"/>
      <c r="BC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  <c r="GR354" s="5"/>
      <c r="GS354" s="5"/>
      <c r="GT354" s="5"/>
      <c r="GU354" s="5"/>
      <c r="GV354" s="5"/>
      <c r="GW354" s="5"/>
      <c r="GX354" s="5"/>
      <c r="GY354" s="5"/>
      <c r="GZ354" s="5"/>
      <c r="HA354" s="5"/>
      <c r="HB354" s="5"/>
      <c r="HC354" s="5"/>
      <c r="HD354" s="5"/>
      <c r="HE354" s="5"/>
      <c r="HF354" s="5"/>
      <c r="HG354" s="5"/>
      <c r="HH354" s="5"/>
      <c r="HI354" s="5"/>
      <c r="HJ354" s="5"/>
      <c r="HK354" s="5"/>
      <c r="HL354" s="5"/>
      <c r="HM354" s="5"/>
      <c r="HN354" s="5"/>
      <c r="HO354" s="5"/>
      <c r="HP354" s="5"/>
      <c r="HQ354" s="5"/>
      <c r="HR354" s="5"/>
      <c r="HS354" s="5"/>
      <c r="HT354" s="5"/>
      <c r="HU354" s="5"/>
      <c r="HV354" s="5"/>
    </row>
    <row r="355" spans="21:230" ht="12.75">
      <c r="U355" s="5"/>
      <c r="V355" s="5"/>
      <c r="W355" s="5"/>
      <c r="X355" s="5"/>
      <c r="Y355" s="5"/>
      <c r="AA355" s="5"/>
      <c r="AB355" s="5"/>
      <c r="AC355" s="5"/>
      <c r="AD355" s="5"/>
      <c r="AE355" s="5"/>
      <c r="AY355" s="5"/>
      <c r="AZ355" s="5"/>
      <c r="BA355" s="5"/>
      <c r="BB355" s="5"/>
      <c r="BC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  <c r="GR355" s="5"/>
      <c r="GS355" s="5"/>
      <c r="GT355" s="5"/>
      <c r="GU355" s="5"/>
      <c r="GV355" s="5"/>
      <c r="GW355" s="5"/>
      <c r="GX355" s="5"/>
      <c r="GY355" s="5"/>
      <c r="GZ355" s="5"/>
      <c r="HA355" s="5"/>
      <c r="HB355" s="5"/>
      <c r="HC355" s="5"/>
      <c r="HD355" s="5"/>
      <c r="HE355" s="5"/>
      <c r="HF355" s="5"/>
      <c r="HG355" s="5"/>
      <c r="HH355" s="5"/>
      <c r="HI355" s="5"/>
      <c r="HJ355" s="5"/>
      <c r="HK355" s="5"/>
      <c r="HL355" s="5"/>
      <c r="HM355" s="5"/>
      <c r="HN355" s="5"/>
      <c r="HO355" s="5"/>
      <c r="HP355" s="5"/>
      <c r="HQ355" s="5"/>
      <c r="HR355" s="5"/>
      <c r="HS355" s="5"/>
      <c r="HT355" s="5"/>
      <c r="HU355" s="5"/>
      <c r="HV355" s="5"/>
    </row>
    <row r="356" spans="21:230" ht="12.75">
      <c r="U356" s="5"/>
      <c r="V356" s="5"/>
      <c r="W356" s="5"/>
      <c r="X356" s="5"/>
      <c r="Y356" s="5"/>
      <c r="AA356" s="5"/>
      <c r="AB356" s="5"/>
      <c r="AC356" s="5"/>
      <c r="AD356" s="5"/>
      <c r="AE356" s="5"/>
      <c r="AY356" s="5"/>
      <c r="AZ356" s="5"/>
      <c r="BA356" s="5"/>
      <c r="BB356" s="5"/>
      <c r="BC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  <c r="GR356" s="5"/>
      <c r="GS356" s="5"/>
      <c r="GT356" s="5"/>
      <c r="GU356" s="5"/>
      <c r="GV356" s="5"/>
      <c r="GW356" s="5"/>
      <c r="GX356" s="5"/>
      <c r="GY356" s="5"/>
      <c r="GZ356" s="5"/>
      <c r="HA356" s="5"/>
      <c r="HB356" s="5"/>
      <c r="HC356" s="5"/>
      <c r="HD356" s="5"/>
      <c r="HE356" s="5"/>
      <c r="HF356" s="5"/>
      <c r="HG356" s="5"/>
      <c r="HH356" s="5"/>
      <c r="HI356" s="5"/>
      <c r="HJ356" s="5"/>
      <c r="HK356" s="5"/>
      <c r="HL356" s="5"/>
      <c r="HM356" s="5"/>
      <c r="HN356" s="5"/>
      <c r="HO356" s="5"/>
      <c r="HP356" s="5"/>
      <c r="HQ356" s="5"/>
      <c r="HR356" s="5"/>
      <c r="HS356" s="5"/>
      <c r="HT356" s="5"/>
      <c r="HU356" s="5"/>
      <c r="HV356" s="5"/>
    </row>
    <row r="357" spans="21:230" ht="12.75">
      <c r="U357" s="5"/>
      <c r="V357" s="5"/>
      <c r="W357" s="5"/>
      <c r="X357" s="5"/>
      <c r="Y357" s="5"/>
      <c r="AA357" s="5"/>
      <c r="AB357" s="5"/>
      <c r="AC357" s="5"/>
      <c r="AD357" s="5"/>
      <c r="AE357" s="5"/>
      <c r="AY357" s="5"/>
      <c r="AZ357" s="5"/>
      <c r="BA357" s="5"/>
      <c r="BB357" s="5"/>
      <c r="BC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  <c r="GR357" s="5"/>
      <c r="GS357" s="5"/>
      <c r="GT357" s="5"/>
      <c r="GU357" s="5"/>
      <c r="GV357" s="5"/>
      <c r="GW357" s="5"/>
      <c r="GX357" s="5"/>
      <c r="GY357" s="5"/>
      <c r="GZ357" s="5"/>
      <c r="HA357" s="5"/>
      <c r="HB357" s="5"/>
      <c r="HC357" s="5"/>
      <c r="HD357" s="5"/>
      <c r="HE357" s="5"/>
      <c r="HF357" s="5"/>
      <c r="HG357" s="5"/>
      <c r="HH357" s="5"/>
      <c r="HI357" s="5"/>
      <c r="HJ357" s="5"/>
      <c r="HK357" s="5"/>
      <c r="HL357" s="5"/>
      <c r="HM357" s="5"/>
      <c r="HN357" s="5"/>
      <c r="HO357" s="5"/>
      <c r="HP357" s="5"/>
      <c r="HQ357" s="5"/>
      <c r="HR357" s="5"/>
      <c r="HS357" s="5"/>
      <c r="HT357" s="5"/>
      <c r="HU357" s="5"/>
      <c r="HV357" s="5"/>
    </row>
    <row r="358" spans="21:230" ht="12.75">
      <c r="U358" s="5"/>
      <c r="V358" s="5"/>
      <c r="W358" s="5"/>
      <c r="X358" s="5"/>
      <c r="Y358" s="5"/>
      <c r="AA358" s="5"/>
      <c r="AB358" s="5"/>
      <c r="AC358" s="5"/>
      <c r="AD358" s="5"/>
      <c r="AE358" s="5"/>
      <c r="AY358" s="5"/>
      <c r="AZ358" s="5"/>
      <c r="BA358" s="5"/>
      <c r="BB358" s="5"/>
      <c r="BC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  <c r="GR358" s="5"/>
      <c r="GS358" s="5"/>
      <c r="GT358" s="5"/>
      <c r="GU358" s="5"/>
      <c r="GV358" s="5"/>
      <c r="GW358" s="5"/>
      <c r="GX358" s="5"/>
      <c r="GY358" s="5"/>
      <c r="GZ358" s="5"/>
      <c r="HA358" s="5"/>
      <c r="HB358" s="5"/>
      <c r="HC358" s="5"/>
      <c r="HD358" s="5"/>
      <c r="HE358" s="5"/>
      <c r="HF358" s="5"/>
      <c r="HG358" s="5"/>
      <c r="HH358" s="5"/>
      <c r="HI358" s="5"/>
      <c r="HJ358" s="5"/>
      <c r="HK358" s="5"/>
      <c r="HL358" s="5"/>
      <c r="HM358" s="5"/>
      <c r="HN358" s="5"/>
      <c r="HO358" s="5"/>
      <c r="HP358" s="5"/>
      <c r="HQ358" s="5"/>
      <c r="HR358" s="5"/>
      <c r="HS358" s="5"/>
      <c r="HT358" s="5"/>
      <c r="HU358" s="5"/>
      <c r="HV358" s="5"/>
    </row>
    <row r="359" spans="21:230" ht="12.75">
      <c r="U359" s="5"/>
      <c r="V359" s="5"/>
      <c r="W359" s="5"/>
      <c r="X359" s="5"/>
      <c r="Y359" s="5"/>
      <c r="AA359" s="5"/>
      <c r="AB359" s="5"/>
      <c r="AC359" s="5"/>
      <c r="AD359" s="5"/>
      <c r="AE359" s="5"/>
      <c r="AY359" s="5"/>
      <c r="AZ359" s="5"/>
      <c r="BA359" s="5"/>
      <c r="BB359" s="5"/>
      <c r="BC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  <c r="GR359" s="5"/>
      <c r="GS359" s="5"/>
      <c r="GT359" s="5"/>
      <c r="GU359" s="5"/>
      <c r="GV359" s="5"/>
      <c r="GW359" s="5"/>
      <c r="GX359" s="5"/>
      <c r="GY359" s="5"/>
      <c r="GZ359" s="5"/>
      <c r="HA359" s="5"/>
      <c r="HB359" s="5"/>
      <c r="HC359" s="5"/>
      <c r="HD359" s="5"/>
      <c r="HE359" s="5"/>
      <c r="HF359" s="5"/>
      <c r="HG359" s="5"/>
      <c r="HH359" s="5"/>
      <c r="HI359" s="5"/>
      <c r="HJ359" s="5"/>
      <c r="HK359" s="5"/>
      <c r="HL359" s="5"/>
      <c r="HM359" s="5"/>
      <c r="HN359" s="5"/>
      <c r="HO359" s="5"/>
      <c r="HP359" s="5"/>
      <c r="HQ359" s="5"/>
      <c r="HR359" s="5"/>
      <c r="HS359" s="5"/>
      <c r="HT359" s="5"/>
      <c r="HU359" s="5"/>
      <c r="HV359" s="5"/>
    </row>
    <row r="360" spans="21:230" ht="12.75">
      <c r="U360" s="5"/>
      <c r="V360" s="5"/>
      <c r="W360" s="5"/>
      <c r="X360" s="5"/>
      <c r="Y360" s="5"/>
      <c r="AA360" s="5"/>
      <c r="AB360" s="5"/>
      <c r="AC360" s="5"/>
      <c r="AD360" s="5"/>
      <c r="AE360" s="5"/>
      <c r="AY360" s="5"/>
      <c r="AZ360" s="5"/>
      <c r="BA360" s="5"/>
      <c r="BB360" s="5"/>
      <c r="BC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  <c r="GL360" s="5"/>
      <c r="GM360" s="5"/>
      <c r="GN360" s="5"/>
      <c r="GO360" s="5"/>
      <c r="GP360" s="5"/>
      <c r="GQ360" s="5"/>
      <c r="GR360" s="5"/>
      <c r="GS360" s="5"/>
      <c r="GT360" s="5"/>
      <c r="GU360" s="5"/>
      <c r="GV360" s="5"/>
      <c r="GW360" s="5"/>
      <c r="GX360" s="5"/>
      <c r="GY360" s="5"/>
      <c r="GZ360" s="5"/>
      <c r="HA360" s="5"/>
      <c r="HB360" s="5"/>
      <c r="HC360" s="5"/>
      <c r="HD360" s="5"/>
      <c r="HE360" s="5"/>
      <c r="HF360" s="5"/>
      <c r="HG360" s="5"/>
      <c r="HH360" s="5"/>
      <c r="HI360" s="5"/>
      <c r="HJ360" s="5"/>
      <c r="HK360" s="5"/>
      <c r="HL360" s="5"/>
      <c r="HM360" s="5"/>
      <c r="HN360" s="5"/>
      <c r="HO360" s="5"/>
      <c r="HP360" s="5"/>
      <c r="HQ360" s="5"/>
      <c r="HR360" s="5"/>
      <c r="HS360" s="5"/>
      <c r="HT360" s="5"/>
      <c r="HU360" s="5"/>
      <c r="HV360" s="5"/>
    </row>
    <row r="361" spans="21:230" ht="12.75">
      <c r="U361" s="5"/>
      <c r="V361" s="5"/>
      <c r="W361" s="5"/>
      <c r="X361" s="5"/>
      <c r="Y361" s="5"/>
      <c r="AA361" s="5"/>
      <c r="AB361" s="5"/>
      <c r="AC361" s="5"/>
      <c r="AD361" s="5"/>
      <c r="AE361" s="5"/>
      <c r="AY361" s="5"/>
      <c r="AZ361" s="5"/>
      <c r="BA361" s="5"/>
      <c r="BB361" s="5"/>
      <c r="BC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  <c r="GL361" s="5"/>
      <c r="GM361" s="5"/>
      <c r="GN361" s="5"/>
      <c r="GO361" s="5"/>
      <c r="GP361" s="5"/>
      <c r="GQ361" s="5"/>
      <c r="GR361" s="5"/>
      <c r="GS361" s="5"/>
      <c r="GT361" s="5"/>
      <c r="GU361" s="5"/>
      <c r="GV361" s="5"/>
      <c r="GW361" s="5"/>
      <c r="GX361" s="5"/>
      <c r="GY361" s="5"/>
      <c r="GZ361" s="5"/>
      <c r="HA361" s="5"/>
      <c r="HB361" s="5"/>
      <c r="HC361" s="5"/>
      <c r="HD361" s="5"/>
      <c r="HE361" s="5"/>
      <c r="HF361" s="5"/>
      <c r="HG361" s="5"/>
      <c r="HH361" s="5"/>
      <c r="HI361" s="5"/>
      <c r="HJ361" s="5"/>
      <c r="HK361" s="5"/>
      <c r="HL361" s="5"/>
      <c r="HM361" s="5"/>
      <c r="HN361" s="5"/>
      <c r="HO361" s="5"/>
      <c r="HP361" s="5"/>
      <c r="HQ361" s="5"/>
      <c r="HR361" s="5"/>
      <c r="HS361" s="5"/>
      <c r="HT361" s="5"/>
      <c r="HU361" s="5"/>
      <c r="HV361" s="5"/>
    </row>
    <row r="362" spans="21:230" ht="12.75">
      <c r="U362" s="5"/>
      <c r="V362" s="5"/>
      <c r="W362" s="5"/>
      <c r="X362" s="5"/>
      <c r="Y362" s="5"/>
      <c r="AA362" s="5"/>
      <c r="AB362" s="5"/>
      <c r="AC362" s="5"/>
      <c r="AD362" s="5"/>
      <c r="AE362" s="5"/>
      <c r="AY362" s="5"/>
      <c r="AZ362" s="5"/>
      <c r="BA362" s="5"/>
      <c r="BB362" s="5"/>
      <c r="BC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  <c r="GL362" s="5"/>
      <c r="GM362" s="5"/>
      <c r="GN362" s="5"/>
      <c r="GO362" s="5"/>
      <c r="GP362" s="5"/>
      <c r="GQ362" s="5"/>
      <c r="GR362" s="5"/>
      <c r="GS362" s="5"/>
      <c r="GT362" s="5"/>
      <c r="GU362" s="5"/>
      <c r="GV362" s="5"/>
      <c r="GW362" s="5"/>
      <c r="GX362" s="5"/>
      <c r="GY362" s="5"/>
      <c r="GZ362" s="5"/>
      <c r="HA362" s="5"/>
      <c r="HB362" s="5"/>
      <c r="HC362" s="5"/>
      <c r="HD362" s="5"/>
      <c r="HE362" s="5"/>
      <c r="HF362" s="5"/>
      <c r="HG362" s="5"/>
      <c r="HH362" s="5"/>
      <c r="HI362" s="5"/>
      <c r="HJ362" s="5"/>
      <c r="HK362" s="5"/>
      <c r="HL362" s="5"/>
      <c r="HM362" s="5"/>
      <c r="HN362" s="5"/>
      <c r="HO362" s="5"/>
      <c r="HP362" s="5"/>
      <c r="HQ362" s="5"/>
      <c r="HR362" s="5"/>
      <c r="HS362" s="5"/>
      <c r="HT362" s="5"/>
      <c r="HU362" s="5"/>
      <c r="HV362" s="5"/>
    </row>
    <row r="363" spans="21:230" ht="12.75">
      <c r="U363" s="5"/>
      <c r="V363" s="5"/>
      <c r="W363" s="5"/>
      <c r="X363" s="5"/>
      <c r="Y363" s="5"/>
      <c r="AA363" s="5"/>
      <c r="AB363" s="5"/>
      <c r="AC363" s="5"/>
      <c r="AD363" s="5"/>
      <c r="AE363" s="5"/>
      <c r="AY363" s="5"/>
      <c r="AZ363" s="5"/>
      <c r="BA363" s="5"/>
      <c r="BB363" s="5"/>
      <c r="BC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  <c r="GR363" s="5"/>
      <c r="GS363" s="5"/>
      <c r="GT363" s="5"/>
      <c r="GU363" s="5"/>
      <c r="GV363" s="5"/>
      <c r="GW363" s="5"/>
      <c r="GX363" s="5"/>
      <c r="GY363" s="5"/>
      <c r="GZ363" s="5"/>
      <c r="HA363" s="5"/>
      <c r="HB363" s="5"/>
      <c r="HC363" s="5"/>
      <c r="HD363" s="5"/>
      <c r="HE363" s="5"/>
      <c r="HF363" s="5"/>
      <c r="HG363" s="5"/>
      <c r="HH363" s="5"/>
      <c r="HI363" s="5"/>
      <c r="HJ363" s="5"/>
      <c r="HK363" s="5"/>
      <c r="HL363" s="5"/>
      <c r="HM363" s="5"/>
      <c r="HN363" s="5"/>
      <c r="HO363" s="5"/>
      <c r="HP363" s="5"/>
      <c r="HQ363" s="5"/>
      <c r="HR363" s="5"/>
      <c r="HS363" s="5"/>
      <c r="HT363" s="5"/>
      <c r="HU363" s="5"/>
      <c r="HV363" s="5"/>
    </row>
    <row r="364" spans="21:230" ht="12.75">
      <c r="U364" s="5"/>
      <c r="V364" s="5"/>
      <c r="W364" s="5"/>
      <c r="X364" s="5"/>
      <c r="Y364" s="5"/>
      <c r="AA364" s="5"/>
      <c r="AB364" s="5"/>
      <c r="AC364" s="5"/>
      <c r="AD364" s="5"/>
      <c r="AE364" s="5"/>
      <c r="AY364" s="5"/>
      <c r="AZ364" s="5"/>
      <c r="BA364" s="5"/>
      <c r="BB364" s="5"/>
      <c r="BC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  <c r="GR364" s="5"/>
      <c r="GS364" s="5"/>
      <c r="GT364" s="5"/>
      <c r="GU364" s="5"/>
      <c r="GV364" s="5"/>
      <c r="GW364" s="5"/>
      <c r="GX364" s="5"/>
      <c r="GY364" s="5"/>
      <c r="GZ364" s="5"/>
      <c r="HA364" s="5"/>
      <c r="HB364" s="5"/>
      <c r="HC364" s="5"/>
      <c r="HD364" s="5"/>
      <c r="HE364" s="5"/>
      <c r="HF364" s="5"/>
      <c r="HG364" s="5"/>
      <c r="HH364" s="5"/>
      <c r="HI364" s="5"/>
      <c r="HJ364" s="5"/>
      <c r="HK364" s="5"/>
      <c r="HL364" s="5"/>
      <c r="HM364" s="5"/>
      <c r="HN364" s="5"/>
      <c r="HO364" s="5"/>
      <c r="HP364" s="5"/>
      <c r="HQ364" s="5"/>
      <c r="HR364" s="5"/>
      <c r="HS364" s="5"/>
      <c r="HT364" s="5"/>
      <c r="HU364" s="5"/>
      <c r="HV364" s="5"/>
    </row>
    <row r="365" spans="21:230" ht="12.75">
      <c r="U365" s="5"/>
      <c r="V365" s="5"/>
      <c r="W365" s="5"/>
      <c r="X365" s="5"/>
      <c r="Y365" s="5"/>
      <c r="AA365" s="5"/>
      <c r="AB365" s="5"/>
      <c r="AC365" s="5"/>
      <c r="AD365" s="5"/>
      <c r="AE365" s="5"/>
      <c r="AY365" s="5"/>
      <c r="AZ365" s="5"/>
      <c r="BA365" s="5"/>
      <c r="BB365" s="5"/>
      <c r="BC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  <c r="GR365" s="5"/>
      <c r="GS365" s="5"/>
      <c r="GT365" s="5"/>
      <c r="GU365" s="5"/>
      <c r="GV365" s="5"/>
      <c r="GW365" s="5"/>
      <c r="GX365" s="5"/>
      <c r="GY365" s="5"/>
      <c r="GZ365" s="5"/>
      <c r="HA365" s="5"/>
      <c r="HB365" s="5"/>
      <c r="HC365" s="5"/>
      <c r="HD365" s="5"/>
      <c r="HE365" s="5"/>
      <c r="HF365" s="5"/>
      <c r="HG365" s="5"/>
      <c r="HH365" s="5"/>
      <c r="HI365" s="5"/>
      <c r="HJ365" s="5"/>
      <c r="HK365" s="5"/>
      <c r="HL365" s="5"/>
      <c r="HM365" s="5"/>
      <c r="HN365" s="5"/>
      <c r="HO365" s="5"/>
      <c r="HP365" s="5"/>
      <c r="HQ365" s="5"/>
      <c r="HR365" s="5"/>
      <c r="HS365" s="5"/>
      <c r="HT365" s="5"/>
      <c r="HU365" s="5"/>
      <c r="HV365" s="5"/>
    </row>
    <row r="366" spans="21:230" ht="12.75">
      <c r="U366" s="5"/>
      <c r="V366" s="5"/>
      <c r="W366" s="5"/>
      <c r="X366" s="5"/>
      <c r="Y366" s="5"/>
      <c r="AA366" s="5"/>
      <c r="AB366" s="5"/>
      <c r="AC366" s="5"/>
      <c r="AD366" s="5"/>
      <c r="AE366" s="5"/>
      <c r="AY366" s="5"/>
      <c r="AZ366" s="5"/>
      <c r="BA366" s="5"/>
      <c r="BB366" s="5"/>
      <c r="BC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  <c r="GR366" s="5"/>
      <c r="GS366" s="5"/>
      <c r="GT366" s="5"/>
      <c r="GU366" s="5"/>
      <c r="GV366" s="5"/>
      <c r="GW366" s="5"/>
      <c r="GX366" s="5"/>
      <c r="GY366" s="5"/>
      <c r="GZ366" s="5"/>
      <c r="HA366" s="5"/>
      <c r="HB366" s="5"/>
      <c r="HC366" s="5"/>
      <c r="HD366" s="5"/>
      <c r="HE366" s="5"/>
      <c r="HF366" s="5"/>
      <c r="HG366" s="5"/>
      <c r="HH366" s="5"/>
      <c r="HI366" s="5"/>
      <c r="HJ366" s="5"/>
      <c r="HK366" s="5"/>
      <c r="HL366" s="5"/>
      <c r="HM366" s="5"/>
      <c r="HN366" s="5"/>
      <c r="HO366" s="5"/>
      <c r="HP366" s="5"/>
      <c r="HQ366" s="5"/>
      <c r="HR366" s="5"/>
      <c r="HS366" s="5"/>
      <c r="HT366" s="5"/>
      <c r="HU366" s="5"/>
      <c r="HV366" s="5"/>
    </row>
    <row r="367" spans="21:230" ht="12.75">
      <c r="U367" s="5"/>
      <c r="V367" s="5"/>
      <c r="W367" s="5"/>
      <c r="X367" s="5"/>
      <c r="Y367" s="5"/>
      <c r="AA367" s="5"/>
      <c r="AB367" s="5"/>
      <c r="AC367" s="5"/>
      <c r="AD367" s="5"/>
      <c r="AE367" s="5"/>
      <c r="AY367" s="5"/>
      <c r="AZ367" s="5"/>
      <c r="BA367" s="5"/>
      <c r="BB367" s="5"/>
      <c r="BC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  <c r="GR367" s="5"/>
      <c r="GS367" s="5"/>
      <c r="GT367" s="5"/>
      <c r="GU367" s="5"/>
      <c r="GV367" s="5"/>
      <c r="GW367" s="5"/>
      <c r="GX367" s="5"/>
      <c r="GY367" s="5"/>
      <c r="GZ367" s="5"/>
      <c r="HA367" s="5"/>
      <c r="HB367" s="5"/>
      <c r="HC367" s="5"/>
      <c r="HD367" s="5"/>
      <c r="HE367" s="5"/>
      <c r="HF367" s="5"/>
      <c r="HG367" s="5"/>
      <c r="HH367" s="5"/>
      <c r="HI367" s="5"/>
      <c r="HJ367" s="5"/>
      <c r="HK367" s="5"/>
      <c r="HL367" s="5"/>
      <c r="HM367" s="5"/>
      <c r="HN367" s="5"/>
      <c r="HO367" s="5"/>
      <c r="HP367" s="5"/>
      <c r="HQ367" s="5"/>
      <c r="HR367" s="5"/>
      <c r="HS367" s="5"/>
      <c r="HT367" s="5"/>
      <c r="HU367" s="5"/>
      <c r="HV367" s="5"/>
    </row>
    <row r="368" spans="21:230" ht="12.75">
      <c r="U368" s="5"/>
      <c r="V368" s="5"/>
      <c r="W368" s="5"/>
      <c r="X368" s="5"/>
      <c r="Y368" s="5"/>
      <c r="AA368" s="5"/>
      <c r="AB368" s="5"/>
      <c r="AC368" s="5"/>
      <c r="AD368" s="5"/>
      <c r="AE368" s="5"/>
      <c r="AY368" s="5"/>
      <c r="AZ368" s="5"/>
      <c r="BA368" s="5"/>
      <c r="BB368" s="5"/>
      <c r="BC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  <c r="GR368" s="5"/>
      <c r="GS368" s="5"/>
      <c r="GT368" s="5"/>
      <c r="GU368" s="5"/>
      <c r="GV368" s="5"/>
      <c r="GW368" s="5"/>
      <c r="GX368" s="5"/>
      <c r="GY368" s="5"/>
      <c r="GZ368" s="5"/>
      <c r="HA368" s="5"/>
      <c r="HB368" s="5"/>
      <c r="HC368" s="5"/>
      <c r="HD368" s="5"/>
      <c r="HE368" s="5"/>
      <c r="HF368" s="5"/>
      <c r="HG368" s="5"/>
      <c r="HH368" s="5"/>
      <c r="HI368" s="5"/>
      <c r="HJ368" s="5"/>
      <c r="HK368" s="5"/>
      <c r="HL368" s="5"/>
      <c r="HM368" s="5"/>
      <c r="HN368" s="5"/>
      <c r="HO368" s="5"/>
      <c r="HP368" s="5"/>
      <c r="HQ368" s="5"/>
      <c r="HR368" s="5"/>
      <c r="HS368" s="5"/>
      <c r="HT368" s="5"/>
      <c r="HU368" s="5"/>
      <c r="HV368" s="5"/>
    </row>
    <row r="369" spans="21:230" ht="12.75">
      <c r="U369" s="5"/>
      <c r="V369" s="5"/>
      <c r="W369" s="5"/>
      <c r="X369" s="5"/>
      <c r="Y369" s="5"/>
      <c r="AA369" s="5"/>
      <c r="AB369" s="5"/>
      <c r="AC369" s="5"/>
      <c r="AD369" s="5"/>
      <c r="AE369" s="5"/>
      <c r="AY369" s="5"/>
      <c r="AZ369" s="5"/>
      <c r="BA369" s="5"/>
      <c r="BB369" s="5"/>
      <c r="BC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  <c r="GR369" s="5"/>
      <c r="GS369" s="5"/>
      <c r="GT369" s="5"/>
      <c r="GU369" s="5"/>
      <c r="GV369" s="5"/>
      <c r="GW369" s="5"/>
      <c r="GX369" s="5"/>
      <c r="GY369" s="5"/>
      <c r="GZ369" s="5"/>
      <c r="HA369" s="5"/>
      <c r="HB369" s="5"/>
      <c r="HC369" s="5"/>
      <c r="HD369" s="5"/>
      <c r="HE369" s="5"/>
      <c r="HF369" s="5"/>
      <c r="HG369" s="5"/>
      <c r="HH369" s="5"/>
      <c r="HI369" s="5"/>
      <c r="HJ369" s="5"/>
      <c r="HK369" s="5"/>
      <c r="HL369" s="5"/>
      <c r="HM369" s="5"/>
      <c r="HN369" s="5"/>
      <c r="HO369" s="5"/>
      <c r="HP369" s="5"/>
      <c r="HQ369" s="5"/>
      <c r="HR369" s="5"/>
      <c r="HS369" s="5"/>
      <c r="HT369" s="5"/>
      <c r="HU369" s="5"/>
      <c r="HV369" s="5"/>
    </row>
    <row r="370" spans="21:230" ht="12.75">
      <c r="U370" s="5"/>
      <c r="V370" s="5"/>
      <c r="W370" s="5"/>
      <c r="X370" s="5"/>
      <c r="Y370" s="5"/>
      <c r="AA370" s="5"/>
      <c r="AB370" s="5"/>
      <c r="AC370" s="5"/>
      <c r="AD370" s="5"/>
      <c r="AE370" s="5"/>
      <c r="AY370" s="5"/>
      <c r="AZ370" s="5"/>
      <c r="BA370" s="5"/>
      <c r="BB370" s="5"/>
      <c r="BC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  <c r="GR370" s="5"/>
      <c r="GS370" s="5"/>
      <c r="GT370" s="5"/>
      <c r="GU370" s="5"/>
      <c r="GV370" s="5"/>
      <c r="GW370" s="5"/>
      <c r="GX370" s="5"/>
      <c r="GY370" s="5"/>
      <c r="GZ370" s="5"/>
      <c r="HA370" s="5"/>
      <c r="HB370" s="5"/>
      <c r="HC370" s="5"/>
      <c r="HD370" s="5"/>
      <c r="HE370" s="5"/>
      <c r="HF370" s="5"/>
      <c r="HG370" s="5"/>
      <c r="HH370" s="5"/>
      <c r="HI370" s="5"/>
      <c r="HJ370" s="5"/>
      <c r="HK370" s="5"/>
      <c r="HL370" s="5"/>
      <c r="HM370" s="5"/>
      <c r="HN370" s="5"/>
      <c r="HO370" s="5"/>
      <c r="HP370" s="5"/>
      <c r="HQ370" s="5"/>
      <c r="HR370" s="5"/>
      <c r="HS370" s="5"/>
      <c r="HT370" s="5"/>
      <c r="HU370" s="5"/>
      <c r="HV370" s="5"/>
    </row>
    <row r="371" spans="21:230" ht="12.75">
      <c r="U371" s="5"/>
      <c r="V371" s="5"/>
      <c r="W371" s="5"/>
      <c r="X371" s="5"/>
      <c r="Y371" s="5"/>
      <c r="AA371" s="5"/>
      <c r="AB371" s="5"/>
      <c r="AC371" s="5"/>
      <c r="AD371" s="5"/>
      <c r="AE371" s="5"/>
      <c r="AY371" s="5"/>
      <c r="AZ371" s="5"/>
      <c r="BA371" s="5"/>
      <c r="BB371" s="5"/>
      <c r="BC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  <c r="GU371" s="5"/>
      <c r="GV371" s="5"/>
      <c r="GW371" s="5"/>
      <c r="GX371" s="5"/>
      <c r="GY371" s="5"/>
      <c r="GZ371" s="5"/>
      <c r="HA371" s="5"/>
      <c r="HB371" s="5"/>
      <c r="HC371" s="5"/>
      <c r="HD371" s="5"/>
      <c r="HE371" s="5"/>
      <c r="HF371" s="5"/>
      <c r="HG371" s="5"/>
      <c r="HH371" s="5"/>
      <c r="HI371" s="5"/>
      <c r="HJ371" s="5"/>
      <c r="HK371" s="5"/>
      <c r="HL371" s="5"/>
      <c r="HM371" s="5"/>
      <c r="HN371" s="5"/>
      <c r="HO371" s="5"/>
      <c r="HP371" s="5"/>
      <c r="HQ371" s="5"/>
      <c r="HR371" s="5"/>
      <c r="HS371" s="5"/>
      <c r="HT371" s="5"/>
      <c r="HU371" s="5"/>
      <c r="HV371" s="5"/>
    </row>
    <row r="372" spans="21:230" ht="12.75">
      <c r="U372" s="5"/>
      <c r="V372" s="5"/>
      <c r="W372" s="5"/>
      <c r="X372" s="5"/>
      <c r="Y372" s="5"/>
      <c r="AA372" s="5"/>
      <c r="AB372" s="5"/>
      <c r="AC372" s="5"/>
      <c r="AD372" s="5"/>
      <c r="AE372" s="5"/>
      <c r="AY372" s="5"/>
      <c r="AZ372" s="5"/>
      <c r="BA372" s="5"/>
      <c r="BB372" s="5"/>
      <c r="BC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  <c r="GR372" s="5"/>
      <c r="GS372" s="5"/>
      <c r="GT372" s="5"/>
      <c r="GU372" s="5"/>
      <c r="GV372" s="5"/>
      <c r="GW372" s="5"/>
      <c r="GX372" s="5"/>
      <c r="GY372" s="5"/>
      <c r="GZ372" s="5"/>
      <c r="HA372" s="5"/>
      <c r="HB372" s="5"/>
      <c r="HC372" s="5"/>
      <c r="HD372" s="5"/>
      <c r="HE372" s="5"/>
      <c r="HF372" s="5"/>
      <c r="HG372" s="5"/>
      <c r="HH372" s="5"/>
      <c r="HI372" s="5"/>
      <c r="HJ372" s="5"/>
      <c r="HK372" s="5"/>
      <c r="HL372" s="5"/>
      <c r="HM372" s="5"/>
      <c r="HN372" s="5"/>
      <c r="HO372" s="5"/>
      <c r="HP372" s="5"/>
      <c r="HQ372" s="5"/>
      <c r="HR372" s="5"/>
      <c r="HS372" s="5"/>
      <c r="HT372" s="5"/>
      <c r="HU372" s="5"/>
      <c r="HV372" s="5"/>
    </row>
    <row r="373" spans="21:230" ht="12.75">
      <c r="U373" s="5"/>
      <c r="V373" s="5"/>
      <c r="W373" s="5"/>
      <c r="X373" s="5"/>
      <c r="Y373" s="5"/>
      <c r="AA373" s="5"/>
      <c r="AB373" s="5"/>
      <c r="AC373" s="5"/>
      <c r="AD373" s="5"/>
      <c r="AE373" s="5"/>
      <c r="AY373" s="5"/>
      <c r="AZ373" s="5"/>
      <c r="BA373" s="5"/>
      <c r="BB373" s="5"/>
      <c r="BC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  <c r="GR373" s="5"/>
      <c r="GS373" s="5"/>
      <c r="GT373" s="5"/>
      <c r="GU373" s="5"/>
      <c r="GV373" s="5"/>
      <c r="GW373" s="5"/>
      <c r="GX373" s="5"/>
      <c r="GY373" s="5"/>
      <c r="GZ373" s="5"/>
      <c r="HA373" s="5"/>
      <c r="HB373" s="5"/>
      <c r="HC373" s="5"/>
      <c r="HD373" s="5"/>
      <c r="HE373" s="5"/>
      <c r="HF373" s="5"/>
      <c r="HG373" s="5"/>
      <c r="HH373" s="5"/>
      <c r="HI373" s="5"/>
      <c r="HJ373" s="5"/>
      <c r="HK373" s="5"/>
      <c r="HL373" s="5"/>
      <c r="HM373" s="5"/>
      <c r="HN373" s="5"/>
      <c r="HO373" s="5"/>
      <c r="HP373" s="5"/>
      <c r="HQ373" s="5"/>
      <c r="HR373" s="5"/>
      <c r="HS373" s="5"/>
      <c r="HT373" s="5"/>
      <c r="HU373" s="5"/>
      <c r="HV373" s="5"/>
    </row>
    <row r="374" spans="21:230" ht="12.75">
      <c r="U374" s="5"/>
      <c r="V374" s="5"/>
      <c r="W374" s="5"/>
      <c r="X374" s="5"/>
      <c r="Y374" s="5"/>
      <c r="AA374" s="5"/>
      <c r="AB374" s="5"/>
      <c r="AC374" s="5"/>
      <c r="AD374" s="5"/>
      <c r="AE374" s="5"/>
      <c r="AY374" s="5"/>
      <c r="AZ374" s="5"/>
      <c r="BA374" s="5"/>
      <c r="BB374" s="5"/>
      <c r="BC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  <c r="GR374" s="5"/>
      <c r="GS374" s="5"/>
      <c r="GT374" s="5"/>
      <c r="GU374" s="5"/>
      <c r="GV374" s="5"/>
      <c r="GW374" s="5"/>
      <c r="GX374" s="5"/>
      <c r="GY374" s="5"/>
      <c r="GZ374" s="5"/>
      <c r="HA374" s="5"/>
      <c r="HB374" s="5"/>
      <c r="HC374" s="5"/>
      <c r="HD374" s="5"/>
      <c r="HE374" s="5"/>
      <c r="HF374" s="5"/>
      <c r="HG374" s="5"/>
      <c r="HH374" s="5"/>
      <c r="HI374" s="5"/>
      <c r="HJ374" s="5"/>
      <c r="HK374" s="5"/>
      <c r="HL374" s="5"/>
      <c r="HM374" s="5"/>
      <c r="HN374" s="5"/>
      <c r="HO374" s="5"/>
      <c r="HP374" s="5"/>
      <c r="HQ374" s="5"/>
      <c r="HR374" s="5"/>
      <c r="HS374" s="5"/>
      <c r="HT374" s="5"/>
      <c r="HU374" s="5"/>
      <c r="HV374" s="5"/>
    </row>
    <row r="375" spans="21:230" ht="12.75">
      <c r="U375" s="5"/>
      <c r="V375" s="5"/>
      <c r="W375" s="5"/>
      <c r="X375" s="5"/>
      <c r="Y375" s="5"/>
      <c r="AA375" s="5"/>
      <c r="AB375" s="5"/>
      <c r="AC375" s="5"/>
      <c r="AD375" s="5"/>
      <c r="AE375" s="5"/>
      <c r="AY375" s="5"/>
      <c r="AZ375" s="5"/>
      <c r="BA375" s="5"/>
      <c r="BB375" s="5"/>
      <c r="BC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  <c r="GL375" s="5"/>
      <c r="GM375" s="5"/>
      <c r="GN375" s="5"/>
      <c r="GO375" s="5"/>
      <c r="GP375" s="5"/>
      <c r="GQ375" s="5"/>
      <c r="GR375" s="5"/>
      <c r="GS375" s="5"/>
      <c r="GT375" s="5"/>
      <c r="GU375" s="5"/>
      <c r="GV375" s="5"/>
      <c r="GW375" s="5"/>
      <c r="GX375" s="5"/>
      <c r="GY375" s="5"/>
      <c r="GZ375" s="5"/>
      <c r="HA375" s="5"/>
      <c r="HB375" s="5"/>
      <c r="HC375" s="5"/>
      <c r="HD375" s="5"/>
      <c r="HE375" s="5"/>
      <c r="HF375" s="5"/>
      <c r="HG375" s="5"/>
      <c r="HH375" s="5"/>
      <c r="HI375" s="5"/>
      <c r="HJ375" s="5"/>
      <c r="HK375" s="5"/>
      <c r="HL375" s="5"/>
      <c r="HM375" s="5"/>
      <c r="HN375" s="5"/>
      <c r="HO375" s="5"/>
      <c r="HP375" s="5"/>
      <c r="HQ375" s="5"/>
      <c r="HR375" s="5"/>
      <c r="HS375" s="5"/>
      <c r="HT375" s="5"/>
      <c r="HU375" s="5"/>
      <c r="HV375" s="5"/>
    </row>
    <row r="376" spans="21:230" ht="12.75">
      <c r="U376" s="5"/>
      <c r="V376" s="5"/>
      <c r="W376" s="5"/>
      <c r="X376" s="5"/>
      <c r="Y376" s="5"/>
      <c r="AA376" s="5"/>
      <c r="AB376" s="5"/>
      <c r="AC376" s="5"/>
      <c r="AD376" s="5"/>
      <c r="AE376" s="5"/>
      <c r="AY376" s="5"/>
      <c r="AZ376" s="5"/>
      <c r="BA376" s="5"/>
      <c r="BB376" s="5"/>
      <c r="BC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  <c r="GL376" s="5"/>
      <c r="GM376" s="5"/>
      <c r="GN376" s="5"/>
      <c r="GO376" s="5"/>
      <c r="GP376" s="5"/>
      <c r="GQ376" s="5"/>
      <c r="GR376" s="5"/>
      <c r="GS376" s="5"/>
      <c r="GT376" s="5"/>
      <c r="GU376" s="5"/>
      <c r="GV376" s="5"/>
      <c r="GW376" s="5"/>
      <c r="GX376" s="5"/>
      <c r="GY376" s="5"/>
      <c r="GZ376" s="5"/>
      <c r="HA376" s="5"/>
      <c r="HB376" s="5"/>
      <c r="HC376" s="5"/>
      <c r="HD376" s="5"/>
      <c r="HE376" s="5"/>
      <c r="HF376" s="5"/>
      <c r="HG376" s="5"/>
      <c r="HH376" s="5"/>
      <c r="HI376" s="5"/>
      <c r="HJ376" s="5"/>
      <c r="HK376" s="5"/>
      <c r="HL376" s="5"/>
      <c r="HM376" s="5"/>
      <c r="HN376" s="5"/>
      <c r="HO376" s="5"/>
      <c r="HP376" s="5"/>
      <c r="HQ376" s="5"/>
      <c r="HR376" s="5"/>
      <c r="HS376" s="5"/>
      <c r="HT376" s="5"/>
      <c r="HU376" s="5"/>
      <c r="HV376" s="5"/>
    </row>
    <row r="377" spans="21:230" ht="12.75">
      <c r="U377" s="5"/>
      <c r="V377" s="5"/>
      <c r="W377" s="5"/>
      <c r="X377" s="5"/>
      <c r="Y377" s="5"/>
      <c r="AA377" s="5"/>
      <c r="AB377" s="5"/>
      <c r="AC377" s="5"/>
      <c r="AD377" s="5"/>
      <c r="AE377" s="5"/>
      <c r="AY377" s="5"/>
      <c r="AZ377" s="5"/>
      <c r="BA377" s="5"/>
      <c r="BB377" s="5"/>
      <c r="BC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  <c r="GR377" s="5"/>
      <c r="GS377" s="5"/>
      <c r="GT377" s="5"/>
      <c r="GU377" s="5"/>
      <c r="GV377" s="5"/>
      <c r="GW377" s="5"/>
      <c r="GX377" s="5"/>
      <c r="GY377" s="5"/>
      <c r="GZ377" s="5"/>
      <c r="HA377" s="5"/>
      <c r="HB377" s="5"/>
      <c r="HC377" s="5"/>
      <c r="HD377" s="5"/>
      <c r="HE377" s="5"/>
      <c r="HF377" s="5"/>
      <c r="HG377" s="5"/>
      <c r="HH377" s="5"/>
      <c r="HI377" s="5"/>
      <c r="HJ377" s="5"/>
      <c r="HK377" s="5"/>
      <c r="HL377" s="5"/>
      <c r="HM377" s="5"/>
      <c r="HN377" s="5"/>
      <c r="HO377" s="5"/>
      <c r="HP377" s="5"/>
      <c r="HQ377" s="5"/>
      <c r="HR377" s="5"/>
      <c r="HS377" s="5"/>
      <c r="HT377" s="5"/>
      <c r="HU377" s="5"/>
      <c r="HV377" s="5"/>
    </row>
    <row r="378" spans="21:230" ht="12.75">
      <c r="U378" s="5"/>
      <c r="V378" s="5"/>
      <c r="W378" s="5"/>
      <c r="X378" s="5"/>
      <c r="Y378" s="5"/>
      <c r="AA378" s="5"/>
      <c r="AB378" s="5"/>
      <c r="AC378" s="5"/>
      <c r="AD378" s="5"/>
      <c r="AE378" s="5"/>
      <c r="AY378" s="5"/>
      <c r="AZ378" s="5"/>
      <c r="BA378" s="5"/>
      <c r="BB378" s="5"/>
      <c r="BC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  <c r="GQ378" s="5"/>
      <c r="GR378" s="5"/>
      <c r="GS378" s="5"/>
      <c r="GT378" s="5"/>
      <c r="GU378" s="5"/>
      <c r="GV378" s="5"/>
      <c r="GW378" s="5"/>
      <c r="GX378" s="5"/>
      <c r="GY378" s="5"/>
      <c r="GZ378" s="5"/>
      <c r="HA378" s="5"/>
      <c r="HB378" s="5"/>
      <c r="HC378" s="5"/>
      <c r="HD378" s="5"/>
      <c r="HE378" s="5"/>
      <c r="HF378" s="5"/>
      <c r="HG378" s="5"/>
      <c r="HH378" s="5"/>
      <c r="HI378" s="5"/>
      <c r="HJ378" s="5"/>
      <c r="HK378" s="5"/>
      <c r="HL378" s="5"/>
      <c r="HM378" s="5"/>
      <c r="HN378" s="5"/>
      <c r="HO378" s="5"/>
      <c r="HP378" s="5"/>
      <c r="HQ378" s="5"/>
      <c r="HR378" s="5"/>
      <c r="HS378" s="5"/>
      <c r="HT378" s="5"/>
      <c r="HU378" s="5"/>
      <c r="HV378" s="5"/>
    </row>
    <row r="379" spans="21:230" ht="12.75">
      <c r="U379" s="5"/>
      <c r="V379" s="5"/>
      <c r="W379" s="5"/>
      <c r="X379" s="5"/>
      <c r="Y379" s="5"/>
      <c r="AA379" s="5"/>
      <c r="AB379" s="5"/>
      <c r="AC379" s="5"/>
      <c r="AD379" s="5"/>
      <c r="AE379" s="5"/>
      <c r="AY379" s="5"/>
      <c r="AZ379" s="5"/>
      <c r="BA379" s="5"/>
      <c r="BB379" s="5"/>
      <c r="BC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  <c r="GR379" s="5"/>
      <c r="GS379" s="5"/>
      <c r="GT379" s="5"/>
      <c r="GU379" s="5"/>
      <c r="GV379" s="5"/>
      <c r="GW379" s="5"/>
      <c r="GX379" s="5"/>
      <c r="GY379" s="5"/>
      <c r="GZ379" s="5"/>
      <c r="HA379" s="5"/>
      <c r="HB379" s="5"/>
      <c r="HC379" s="5"/>
      <c r="HD379" s="5"/>
      <c r="HE379" s="5"/>
      <c r="HF379" s="5"/>
      <c r="HG379" s="5"/>
      <c r="HH379" s="5"/>
      <c r="HI379" s="5"/>
      <c r="HJ379" s="5"/>
      <c r="HK379" s="5"/>
      <c r="HL379" s="5"/>
      <c r="HM379" s="5"/>
      <c r="HN379" s="5"/>
      <c r="HO379" s="5"/>
      <c r="HP379" s="5"/>
      <c r="HQ379" s="5"/>
      <c r="HR379" s="5"/>
      <c r="HS379" s="5"/>
      <c r="HT379" s="5"/>
      <c r="HU379" s="5"/>
      <c r="HV379" s="5"/>
    </row>
    <row r="380" spans="21:230" ht="12.75">
      <c r="U380" s="5"/>
      <c r="V380" s="5"/>
      <c r="W380" s="5"/>
      <c r="X380" s="5"/>
      <c r="Y380" s="5"/>
      <c r="AA380" s="5"/>
      <c r="AB380" s="5"/>
      <c r="AC380" s="5"/>
      <c r="AD380" s="5"/>
      <c r="AE380" s="5"/>
      <c r="AY380" s="5"/>
      <c r="AZ380" s="5"/>
      <c r="BA380" s="5"/>
      <c r="BB380" s="5"/>
      <c r="BC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  <c r="GL380" s="5"/>
      <c r="GM380" s="5"/>
      <c r="GN380" s="5"/>
      <c r="GO380" s="5"/>
      <c r="GP380" s="5"/>
      <c r="GQ380" s="5"/>
      <c r="GR380" s="5"/>
      <c r="GS380" s="5"/>
      <c r="GT380" s="5"/>
      <c r="GU380" s="5"/>
      <c r="GV380" s="5"/>
      <c r="GW380" s="5"/>
      <c r="GX380" s="5"/>
      <c r="GY380" s="5"/>
      <c r="GZ380" s="5"/>
      <c r="HA380" s="5"/>
      <c r="HB380" s="5"/>
      <c r="HC380" s="5"/>
      <c r="HD380" s="5"/>
      <c r="HE380" s="5"/>
      <c r="HF380" s="5"/>
      <c r="HG380" s="5"/>
      <c r="HH380" s="5"/>
      <c r="HI380" s="5"/>
      <c r="HJ380" s="5"/>
      <c r="HK380" s="5"/>
      <c r="HL380" s="5"/>
      <c r="HM380" s="5"/>
      <c r="HN380" s="5"/>
      <c r="HO380" s="5"/>
      <c r="HP380" s="5"/>
      <c r="HQ380" s="5"/>
      <c r="HR380" s="5"/>
      <c r="HS380" s="5"/>
      <c r="HT380" s="5"/>
      <c r="HU380" s="5"/>
      <c r="HV380" s="5"/>
    </row>
    <row r="381" spans="21:230" ht="12.75">
      <c r="U381" s="5"/>
      <c r="V381" s="5"/>
      <c r="W381" s="5"/>
      <c r="X381" s="5"/>
      <c r="Y381" s="5"/>
      <c r="AA381" s="5"/>
      <c r="AB381" s="5"/>
      <c r="AC381" s="5"/>
      <c r="AD381" s="5"/>
      <c r="AE381" s="5"/>
      <c r="AY381" s="5"/>
      <c r="AZ381" s="5"/>
      <c r="BA381" s="5"/>
      <c r="BB381" s="5"/>
      <c r="BC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  <c r="GR381" s="5"/>
      <c r="GS381" s="5"/>
      <c r="GT381" s="5"/>
      <c r="GU381" s="5"/>
      <c r="GV381" s="5"/>
      <c r="GW381" s="5"/>
      <c r="GX381" s="5"/>
      <c r="GY381" s="5"/>
      <c r="GZ381" s="5"/>
      <c r="HA381" s="5"/>
      <c r="HB381" s="5"/>
      <c r="HC381" s="5"/>
      <c r="HD381" s="5"/>
      <c r="HE381" s="5"/>
      <c r="HF381" s="5"/>
      <c r="HG381" s="5"/>
      <c r="HH381" s="5"/>
      <c r="HI381" s="5"/>
      <c r="HJ381" s="5"/>
      <c r="HK381" s="5"/>
      <c r="HL381" s="5"/>
      <c r="HM381" s="5"/>
      <c r="HN381" s="5"/>
      <c r="HO381" s="5"/>
      <c r="HP381" s="5"/>
      <c r="HQ381" s="5"/>
      <c r="HR381" s="5"/>
      <c r="HS381" s="5"/>
      <c r="HT381" s="5"/>
      <c r="HU381" s="5"/>
      <c r="HV381" s="5"/>
    </row>
    <row r="382" spans="21:230" ht="12.75">
      <c r="U382" s="5"/>
      <c r="V382" s="5"/>
      <c r="W382" s="5"/>
      <c r="X382" s="5"/>
      <c r="Y382" s="5"/>
      <c r="AA382" s="5"/>
      <c r="AB382" s="5"/>
      <c r="AC382" s="5"/>
      <c r="AD382" s="5"/>
      <c r="AE382" s="5"/>
      <c r="AY382" s="5"/>
      <c r="AZ382" s="5"/>
      <c r="BA382" s="5"/>
      <c r="BB382" s="5"/>
      <c r="BC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  <c r="GR382" s="5"/>
      <c r="GS382" s="5"/>
      <c r="GT382" s="5"/>
      <c r="GU382" s="5"/>
      <c r="GV382" s="5"/>
      <c r="GW382" s="5"/>
      <c r="GX382" s="5"/>
      <c r="GY382" s="5"/>
      <c r="GZ382" s="5"/>
      <c r="HA382" s="5"/>
      <c r="HB382" s="5"/>
      <c r="HC382" s="5"/>
      <c r="HD382" s="5"/>
      <c r="HE382" s="5"/>
      <c r="HF382" s="5"/>
      <c r="HG382" s="5"/>
      <c r="HH382" s="5"/>
      <c r="HI382" s="5"/>
      <c r="HJ382" s="5"/>
      <c r="HK382" s="5"/>
      <c r="HL382" s="5"/>
      <c r="HM382" s="5"/>
      <c r="HN382" s="5"/>
      <c r="HO382" s="5"/>
      <c r="HP382" s="5"/>
      <c r="HQ382" s="5"/>
      <c r="HR382" s="5"/>
      <c r="HS382" s="5"/>
      <c r="HT382" s="5"/>
      <c r="HU382" s="5"/>
      <c r="HV382" s="5"/>
    </row>
    <row r="383" spans="21:230" ht="12.75">
      <c r="U383" s="5"/>
      <c r="V383" s="5"/>
      <c r="W383" s="5"/>
      <c r="X383" s="5"/>
      <c r="Y383" s="5"/>
      <c r="AA383" s="5"/>
      <c r="AB383" s="5"/>
      <c r="AC383" s="5"/>
      <c r="AD383" s="5"/>
      <c r="AE383" s="5"/>
      <c r="AY383" s="5"/>
      <c r="AZ383" s="5"/>
      <c r="BA383" s="5"/>
      <c r="BB383" s="5"/>
      <c r="BC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  <c r="HB383" s="5"/>
      <c r="HC383" s="5"/>
      <c r="HD383" s="5"/>
      <c r="HE383" s="5"/>
      <c r="HF383" s="5"/>
      <c r="HG383" s="5"/>
      <c r="HH383" s="5"/>
      <c r="HI383" s="5"/>
      <c r="HJ383" s="5"/>
      <c r="HK383" s="5"/>
      <c r="HL383" s="5"/>
      <c r="HM383" s="5"/>
      <c r="HN383" s="5"/>
      <c r="HO383" s="5"/>
      <c r="HP383" s="5"/>
      <c r="HQ383" s="5"/>
      <c r="HR383" s="5"/>
      <c r="HS383" s="5"/>
      <c r="HT383" s="5"/>
      <c r="HU383" s="5"/>
      <c r="HV383" s="5"/>
    </row>
    <row r="384" spans="21:230" ht="12.75">
      <c r="U384" s="5"/>
      <c r="V384" s="5"/>
      <c r="W384" s="5"/>
      <c r="X384" s="5"/>
      <c r="Y384" s="5"/>
      <c r="AA384" s="5"/>
      <c r="AB384" s="5"/>
      <c r="AC384" s="5"/>
      <c r="AD384" s="5"/>
      <c r="AE384" s="5"/>
      <c r="AY384" s="5"/>
      <c r="AZ384" s="5"/>
      <c r="BA384" s="5"/>
      <c r="BB384" s="5"/>
      <c r="BC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  <c r="GR384" s="5"/>
      <c r="GS384" s="5"/>
      <c r="GT384" s="5"/>
      <c r="GU384" s="5"/>
      <c r="GV384" s="5"/>
      <c r="GW384" s="5"/>
      <c r="GX384" s="5"/>
      <c r="GY384" s="5"/>
      <c r="GZ384" s="5"/>
      <c r="HA384" s="5"/>
      <c r="HB384" s="5"/>
      <c r="HC384" s="5"/>
      <c r="HD384" s="5"/>
      <c r="HE384" s="5"/>
      <c r="HF384" s="5"/>
      <c r="HG384" s="5"/>
      <c r="HH384" s="5"/>
      <c r="HI384" s="5"/>
      <c r="HJ384" s="5"/>
      <c r="HK384" s="5"/>
      <c r="HL384" s="5"/>
      <c r="HM384" s="5"/>
      <c r="HN384" s="5"/>
      <c r="HO384" s="5"/>
      <c r="HP384" s="5"/>
      <c r="HQ384" s="5"/>
      <c r="HR384" s="5"/>
      <c r="HS384" s="5"/>
      <c r="HT384" s="5"/>
      <c r="HU384" s="5"/>
      <c r="HV384" s="5"/>
    </row>
    <row r="385" spans="21:230" ht="12.75">
      <c r="U385" s="5"/>
      <c r="V385" s="5"/>
      <c r="W385" s="5"/>
      <c r="X385" s="5"/>
      <c r="Y385" s="5"/>
      <c r="AA385" s="5"/>
      <c r="AB385" s="5"/>
      <c r="AC385" s="5"/>
      <c r="AD385" s="5"/>
      <c r="AE385" s="5"/>
      <c r="AY385" s="5"/>
      <c r="AZ385" s="5"/>
      <c r="BA385" s="5"/>
      <c r="BB385" s="5"/>
      <c r="BC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  <c r="GW385" s="5"/>
      <c r="GX385" s="5"/>
      <c r="GY385" s="5"/>
      <c r="GZ385" s="5"/>
      <c r="HA385" s="5"/>
      <c r="HB385" s="5"/>
      <c r="HC385" s="5"/>
      <c r="HD385" s="5"/>
      <c r="HE385" s="5"/>
      <c r="HF385" s="5"/>
      <c r="HG385" s="5"/>
      <c r="HH385" s="5"/>
      <c r="HI385" s="5"/>
      <c r="HJ385" s="5"/>
      <c r="HK385" s="5"/>
      <c r="HL385" s="5"/>
      <c r="HM385" s="5"/>
      <c r="HN385" s="5"/>
      <c r="HO385" s="5"/>
      <c r="HP385" s="5"/>
      <c r="HQ385" s="5"/>
      <c r="HR385" s="5"/>
      <c r="HS385" s="5"/>
      <c r="HT385" s="5"/>
      <c r="HU385" s="5"/>
      <c r="HV385" s="5"/>
    </row>
    <row r="386" spans="21:230" ht="12.75">
      <c r="U386" s="5"/>
      <c r="V386" s="5"/>
      <c r="W386" s="5"/>
      <c r="X386" s="5"/>
      <c r="Y386" s="5"/>
      <c r="AA386" s="5"/>
      <c r="AB386" s="5"/>
      <c r="AC386" s="5"/>
      <c r="AD386" s="5"/>
      <c r="AE386" s="5"/>
      <c r="AY386" s="5"/>
      <c r="AZ386" s="5"/>
      <c r="BA386" s="5"/>
      <c r="BB386" s="5"/>
      <c r="BC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  <c r="GR386" s="5"/>
      <c r="GS386" s="5"/>
      <c r="GT386" s="5"/>
      <c r="GU386" s="5"/>
      <c r="GV386" s="5"/>
      <c r="GW386" s="5"/>
      <c r="GX386" s="5"/>
      <c r="GY386" s="5"/>
      <c r="GZ386" s="5"/>
      <c r="HA386" s="5"/>
      <c r="HB386" s="5"/>
      <c r="HC386" s="5"/>
      <c r="HD386" s="5"/>
      <c r="HE386" s="5"/>
      <c r="HF386" s="5"/>
      <c r="HG386" s="5"/>
      <c r="HH386" s="5"/>
      <c r="HI386" s="5"/>
      <c r="HJ386" s="5"/>
      <c r="HK386" s="5"/>
      <c r="HL386" s="5"/>
      <c r="HM386" s="5"/>
      <c r="HN386" s="5"/>
      <c r="HO386" s="5"/>
      <c r="HP386" s="5"/>
      <c r="HQ386" s="5"/>
      <c r="HR386" s="5"/>
      <c r="HS386" s="5"/>
      <c r="HT386" s="5"/>
      <c r="HU386" s="5"/>
      <c r="HV386" s="5"/>
    </row>
    <row r="387" spans="21:230" ht="12.75">
      <c r="U387" s="5"/>
      <c r="V387" s="5"/>
      <c r="W387" s="5"/>
      <c r="X387" s="5"/>
      <c r="Y387" s="5"/>
      <c r="AA387" s="5"/>
      <c r="AB387" s="5"/>
      <c r="AC387" s="5"/>
      <c r="AD387" s="5"/>
      <c r="AE387" s="5"/>
      <c r="AY387" s="5"/>
      <c r="AZ387" s="5"/>
      <c r="BA387" s="5"/>
      <c r="BB387" s="5"/>
      <c r="BC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  <c r="GT387" s="5"/>
      <c r="GU387" s="5"/>
      <c r="GV387" s="5"/>
      <c r="GW387" s="5"/>
      <c r="GX387" s="5"/>
      <c r="GY387" s="5"/>
      <c r="GZ387" s="5"/>
      <c r="HA387" s="5"/>
      <c r="HB387" s="5"/>
      <c r="HC387" s="5"/>
      <c r="HD387" s="5"/>
      <c r="HE387" s="5"/>
      <c r="HF387" s="5"/>
      <c r="HG387" s="5"/>
      <c r="HH387" s="5"/>
      <c r="HI387" s="5"/>
      <c r="HJ387" s="5"/>
      <c r="HK387" s="5"/>
      <c r="HL387" s="5"/>
      <c r="HM387" s="5"/>
      <c r="HN387" s="5"/>
      <c r="HO387" s="5"/>
      <c r="HP387" s="5"/>
      <c r="HQ387" s="5"/>
      <c r="HR387" s="5"/>
      <c r="HS387" s="5"/>
      <c r="HT387" s="5"/>
      <c r="HU387" s="5"/>
      <c r="HV387" s="5"/>
    </row>
    <row r="388" spans="21:230" ht="12.75">
      <c r="U388" s="5"/>
      <c r="V388" s="5"/>
      <c r="W388" s="5"/>
      <c r="X388" s="5"/>
      <c r="Y388" s="5"/>
      <c r="AA388" s="5"/>
      <c r="AB388" s="5"/>
      <c r="AC388" s="5"/>
      <c r="AD388" s="5"/>
      <c r="AE388" s="5"/>
      <c r="AY388" s="5"/>
      <c r="AZ388" s="5"/>
      <c r="BA388" s="5"/>
      <c r="BB388" s="5"/>
      <c r="BC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  <c r="GR388" s="5"/>
      <c r="GS388" s="5"/>
      <c r="GT388" s="5"/>
      <c r="GU388" s="5"/>
      <c r="GV388" s="5"/>
      <c r="GW388" s="5"/>
      <c r="GX388" s="5"/>
      <c r="GY388" s="5"/>
      <c r="GZ388" s="5"/>
      <c r="HA388" s="5"/>
      <c r="HB388" s="5"/>
      <c r="HC388" s="5"/>
      <c r="HD388" s="5"/>
      <c r="HE388" s="5"/>
      <c r="HF388" s="5"/>
      <c r="HG388" s="5"/>
      <c r="HH388" s="5"/>
      <c r="HI388" s="5"/>
      <c r="HJ388" s="5"/>
      <c r="HK388" s="5"/>
      <c r="HL388" s="5"/>
      <c r="HM388" s="5"/>
      <c r="HN388" s="5"/>
      <c r="HO388" s="5"/>
      <c r="HP388" s="5"/>
      <c r="HQ388" s="5"/>
      <c r="HR388" s="5"/>
      <c r="HS388" s="5"/>
      <c r="HT388" s="5"/>
      <c r="HU388" s="5"/>
      <c r="HV388" s="5"/>
    </row>
    <row r="389" spans="21:230" ht="12.75">
      <c r="U389" s="5"/>
      <c r="V389" s="5"/>
      <c r="W389" s="5"/>
      <c r="X389" s="5"/>
      <c r="Y389" s="5"/>
      <c r="AA389" s="5"/>
      <c r="AB389" s="5"/>
      <c r="AC389" s="5"/>
      <c r="AD389" s="5"/>
      <c r="AE389" s="5"/>
      <c r="AY389" s="5"/>
      <c r="AZ389" s="5"/>
      <c r="BA389" s="5"/>
      <c r="BB389" s="5"/>
      <c r="BC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  <c r="GR389" s="5"/>
      <c r="GS389" s="5"/>
      <c r="GT389" s="5"/>
      <c r="GU389" s="5"/>
      <c r="GV389" s="5"/>
      <c r="GW389" s="5"/>
      <c r="GX389" s="5"/>
      <c r="GY389" s="5"/>
      <c r="GZ389" s="5"/>
      <c r="HA389" s="5"/>
      <c r="HB389" s="5"/>
      <c r="HC389" s="5"/>
      <c r="HD389" s="5"/>
      <c r="HE389" s="5"/>
      <c r="HF389" s="5"/>
      <c r="HG389" s="5"/>
      <c r="HH389" s="5"/>
      <c r="HI389" s="5"/>
      <c r="HJ389" s="5"/>
      <c r="HK389" s="5"/>
      <c r="HL389" s="5"/>
      <c r="HM389" s="5"/>
      <c r="HN389" s="5"/>
      <c r="HO389" s="5"/>
      <c r="HP389" s="5"/>
      <c r="HQ389" s="5"/>
      <c r="HR389" s="5"/>
      <c r="HS389" s="5"/>
      <c r="HT389" s="5"/>
      <c r="HU389" s="5"/>
      <c r="HV389" s="5"/>
    </row>
    <row r="390" spans="21:230" ht="12.75">
      <c r="U390" s="5"/>
      <c r="V390" s="5"/>
      <c r="W390" s="5"/>
      <c r="X390" s="5"/>
      <c r="Y390" s="5"/>
      <c r="AA390" s="5"/>
      <c r="AB390" s="5"/>
      <c r="AC390" s="5"/>
      <c r="AD390" s="5"/>
      <c r="AE390" s="5"/>
      <c r="AY390" s="5"/>
      <c r="AZ390" s="5"/>
      <c r="BA390" s="5"/>
      <c r="BB390" s="5"/>
      <c r="BC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  <c r="GR390" s="5"/>
      <c r="GS390" s="5"/>
      <c r="GT390" s="5"/>
      <c r="GU390" s="5"/>
      <c r="GV390" s="5"/>
      <c r="GW390" s="5"/>
      <c r="GX390" s="5"/>
      <c r="GY390" s="5"/>
      <c r="GZ390" s="5"/>
      <c r="HA390" s="5"/>
      <c r="HB390" s="5"/>
      <c r="HC390" s="5"/>
      <c r="HD390" s="5"/>
      <c r="HE390" s="5"/>
      <c r="HF390" s="5"/>
      <c r="HG390" s="5"/>
      <c r="HH390" s="5"/>
      <c r="HI390" s="5"/>
      <c r="HJ390" s="5"/>
      <c r="HK390" s="5"/>
      <c r="HL390" s="5"/>
      <c r="HM390" s="5"/>
      <c r="HN390" s="5"/>
      <c r="HO390" s="5"/>
      <c r="HP390" s="5"/>
      <c r="HQ390" s="5"/>
      <c r="HR390" s="5"/>
      <c r="HS390" s="5"/>
      <c r="HT390" s="5"/>
      <c r="HU390" s="5"/>
      <c r="HV390" s="5"/>
    </row>
    <row r="391" spans="21:230" ht="12.75">
      <c r="U391" s="5"/>
      <c r="V391" s="5"/>
      <c r="W391" s="5"/>
      <c r="X391" s="5"/>
      <c r="Y391" s="5"/>
      <c r="AA391" s="5"/>
      <c r="AB391" s="5"/>
      <c r="AC391" s="5"/>
      <c r="AD391" s="5"/>
      <c r="AE391" s="5"/>
      <c r="AY391" s="5"/>
      <c r="AZ391" s="5"/>
      <c r="BA391" s="5"/>
      <c r="BB391" s="5"/>
      <c r="BC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  <c r="GL391" s="5"/>
      <c r="GM391" s="5"/>
      <c r="GN391" s="5"/>
      <c r="GO391" s="5"/>
      <c r="GP391" s="5"/>
      <c r="GQ391" s="5"/>
      <c r="GR391" s="5"/>
      <c r="GS391" s="5"/>
      <c r="GT391" s="5"/>
      <c r="GU391" s="5"/>
      <c r="GV391" s="5"/>
      <c r="GW391" s="5"/>
      <c r="GX391" s="5"/>
      <c r="GY391" s="5"/>
      <c r="GZ391" s="5"/>
      <c r="HA391" s="5"/>
      <c r="HB391" s="5"/>
      <c r="HC391" s="5"/>
      <c r="HD391" s="5"/>
      <c r="HE391" s="5"/>
      <c r="HF391" s="5"/>
      <c r="HG391" s="5"/>
      <c r="HH391" s="5"/>
      <c r="HI391" s="5"/>
      <c r="HJ391" s="5"/>
      <c r="HK391" s="5"/>
      <c r="HL391" s="5"/>
      <c r="HM391" s="5"/>
      <c r="HN391" s="5"/>
      <c r="HO391" s="5"/>
      <c r="HP391" s="5"/>
      <c r="HQ391" s="5"/>
      <c r="HR391" s="5"/>
      <c r="HS391" s="5"/>
      <c r="HT391" s="5"/>
      <c r="HU391" s="5"/>
      <c r="HV391" s="5"/>
    </row>
    <row r="392" spans="21:230" ht="12.75">
      <c r="U392" s="5"/>
      <c r="V392" s="5"/>
      <c r="W392" s="5"/>
      <c r="X392" s="5"/>
      <c r="Y392" s="5"/>
      <c r="AA392" s="5"/>
      <c r="AB392" s="5"/>
      <c r="AC392" s="5"/>
      <c r="AD392" s="5"/>
      <c r="AE392" s="5"/>
      <c r="AY392" s="5"/>
      <c r="AZ392" s="5"/>
      <c r="BA392" s="5"/>
      <c r="BB392" s="5"/>
      <c r="BC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  <c r="GP392" s="5"/>
      <c r="GQ392" s="5"/>
      <c r="GR392" s="5"/>
      <c r="GS392" s="5"/>
      <c r="GT392" s="5"/>
      <c r="GU392" s="5"/>
      <c r="GV392" s="5"/>
      <c r="GW392" s="5"/>
      <c r="GX392" s="5"/>
      <c r="GY392" s="5"/>
      <c r="GZ392" s="5"/>
      <c r="HA392" s="5"/>
      <c r="HB392" s="5"/>
      <c r="HC392" s="5"/>
      <c r="HD392" s="5"/>
      <c r="HE392" s="5"/>
      <c r="HF392" s="5"/>
      <c r="HG392" s="5"/>
      <c r="HH392" s="5"/>
      <c r="HI392" s="5"/>
      <c r="HJ392" s="5"/>
      <c r="HK392" s="5"/>
      <c r="HL392" s="5"/>
      <c r="HM392" s="5"/>
      <c r="HN392" s="5"/>
      <c r="HO392" s="5"/>
      <c r="HP392" s="5"/>
      <c r="HQ392" s="5"/>
      <c r="HR392" s="5"/>
      <c r="HS392" s="5"/>
      <c r="HT392" s="5"/>
      <c r="HU392" s="5"/>
      <c r="HV392" s="5"/>
    </row>
    <row r="393" spans="21:230" ht="12.75">
      <c r="U393" s="5"/>
      <c r="V393" s="5"/>
      <c r="W393" s="5"/>
      <c r="X393" s="5"/>
      <c r="Y393" s="5"/>
      <c r="AA393" s="5"/>
      <c r="AB393" s="5"/>
      <c r="AC393" s="5"/>
      <c r="AD393" s="5"/>
      <c r="AE393" s="5"/>
      <c r="AY393" s="5"/>
      <c r="AZ393" s="5"/>
      <c r="BA393" s="5"/>
      <c r="BB393" s="5"/>
      <c r="BC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  <c r="GL393" s="5"/>
      <c r="GM393" s="5"/>
      <c r="GN393" s="5"/>
      <c r="GO393" s="5"/>
      <c r="GP393" s="5"/>
      <c r="GQ393" s="5"/>
      <c r="GR393" s="5"/>
      <c r="GS393" s="5"/>
      <c r="GT393" s="5"/>
      <c r="GU393" s="5"/>
      <c r="GV393" s="5"/>
      <c r="GW393" s="5"/>
      <c r="GX393" s="5"/>
      <c r="GY393" s="5"/>
      <c r="GZ393" s="5"/>
      <c r="HA393" s="5"/>
      <c r="HB393" s="5"/>
      <c r="HC393" s="5"/>
      <c r="HD393" s="5"/>
      <c r="HE393" s="5"/>
      <c r="HF393" s="5"/>
      <c r="HG393" s="5"/>
      <c r="HH393" s="5"/>
      <c r="HI393" s="5"/>
      <c r="HJ393" s="5"/>
      <c r="HK393" s="5"/>
      <c r="HL393" s="5"/>
      <c r="HM393" s="5"/>
      <c r="HN393" s="5"/>
      <c r="HO393" s="5"/>
      <c r="HP393" s="5"/>
      <c r="HQ393" s="5"/>
      <c r="HR393" s="5"/>
      <c r="HS393" s="5"/>
      <c r="HT393" s="5"/>
      <c r="HU393" s="5"/>
      <c r="HV393" s="5"/>
    </row>
    <row r="394" spans="21:230" ht="12.75">
      <c r="U394" s="5"/>
      <c r="V394" s="5"/>
      <c r="W394" s="5"/>
      <c r="X394" s="5"/>
      <c r="Y394" s="5"/>
      <c r="AA394" s="5"/>
      <c r="AB394" s="5"/>
      <c r="AC394" s="5"/>
      <c r="AD394" s="5"/>
      <c r="AE394" s="5"/>
      <c r="AY394" s="5"/>
      <c r="AZ394" s="5"/>
      <c r="BA394" s="5"/>
      <c r="BB394" s="5"/>
      <c r="BC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  <c r="GC394" s="5"/>
      <c r="GD394" s="5"/>
      <c r="GE394" s="5"/>
      <c r="GF394" s="5"/>
      <c r="GG394" s="5"/>
      <c r="GH394" s="5"/>
      <c r="GI394" s="5"/>
      <c r="GJ394" s="5"/>
      <c r="GK394" s="5"/>
      <c r="GL394" s="5"/>
      <c r="GM394" s="5"/>
      <c r="GN394" s="5"/>
      <c r="GO394" s="5"/>
      <c r="GP394" s="5"/>
      <c r="GQ394" s="5"/>
      <c r="GR394" s="5"/>
      <c r="GS394" s="5"/>
      <c r="GT394" s="5"/>
      <c r="GU394" s="5"/>
      <c r="GV394" s="5"/>
      <c r="GW394" s="5"/>
      <c r="GX394" s="5"/>
      <c r="GY394" s="5"/>
      <c r="GZ394" s="5"/>
      <c r="HA394" s="5"/>
      <c r="HB394" s="5"/>
      <c r="HC394" s="5"/>
      <c r="HD394" s="5"/>
      <c r="HE394" s="5"/>
      <c r="HF394" s="5"/>
      <c r="HG394" s="5"/>
      <c r="HH394" s="5"/>
      <c r="HI394" s="5"/>
      <c r="HJ394" s="5"/>
      <c r="HK394" s="5"/>
      <c r="HL394" s="5"/>
      <c r="HM394" s="5"/>
      <c r="HN394" s="5"/>
      <c r="HO394" s="5"/>
      <c r="HP394" s="5"/>
      <c r="HQ394" s="5"/>
      <c r="HR394" s="5"/>
      <c r="HS394" s="5"/>
      <c r="HT394" s="5"/>
      <c r="HU394" s="5"/>
      <c r="HV394" s="5"/>
    </row>
    <row r="395" spans="21:230" ht="12.75">
      <c r="U395" s="5"/>
      <c r="V395" s="5"/>
      <c r="W395" s="5"/>
      <c r="X395" s="5"/>
      <c r="Y395" s="5"/>
      <c r="AA395" s="5"/>
      <c r="AB395" s="5"/>
      <c r="AC395" s="5"/>
      <c r="AD395" s="5"/>
      <c r="AE395" s="5"/>
      <c r="AY395" s="5"/>
      <c r="AZ395" s="5"/>
      <c r="BA395" s="5"/>
      <c r="BB395" s="5"/>
      <c r="BC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  <c r="GR395" s="5"/>
      <c r="GS395" s="5"/>
      <c r="GT395" s="5"/>
      <c r="GU395" s="5"/>
      <c r="GV395" s="5"/>
      <c r="GW395" s="5"/>
      <c r="GX395" s="5"/>
      <c r="GY395" s="5"/>
      <c r="GZ395" s="5"/>
      <c r="HA395" s="5"/>
      <c r="HB395" s="5"/>
      <c r="HC395" s="5"/>
      <c r="HD395" s="5"/>
      <c r="HE395" s="5"/>
      <c r="HF395" s="5"/>
      <c r="HG395" s="5"/>
      <c r="HH395" s="5"/>
      <c r="HI395" s="5"/>
      <c r="HJ395" s="5"/>
      <c r="HK395" s="5"/>
      <c r="HL395" s="5"/>
      <c r="HM395" s="5"/>
      <c r="HN395" s="5"/>
      <c r="HO395" s="5"/>
      <c r="HP395" s="5"/>
      <c r="HQ395" s="5"/>
      <c r="HR395" s="5"/>
      <c r="HS395" s="5"/>
      <c r="HT395" s="5"/>
      <c r="HU395" s="5"/>
      <c r="HV395" s="5"/>
    </row>
    <row r="396" spans="21:230" ht="12.75">
      <c r="U396" s="5"/>
      <c r="V396" s="5"/>
      <c r="W396" s="5"/>
      <c r="X396" s="5"/>
      <c r="Y396" s="5"/>
      <c r="AA396" s="5"/>
      <c r="AB396" s="5"/>
      <c r="AC396" s="5"/>
      <c r="AD396" s="5"/>
      <c r="AE396" s="5"/>
      <c r="AY396" s="5"/>
      <c r="AZ396" s="5"/>
      <c r="BA396" s="5"/>
      <c r="BB396" s="5"/>
      <c r="BC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  <c r="GL396" s="5"/>
      <c r="GM396" s="5"/>
      <c r="GN396" s="5"/>
      <c r="GO396" s="5"/>
      <c r="GP396" s="5"/>
      <c r="GQ396" s="5"/>
      <c r="GR396" s="5"/>
      <c r="GS396" s="5"/>
      <c r="GT396" s="5"/>
      <c r="GU396" s="5"/>
      <c r="GV396" s="5"/>
      <c r="GW396" s="5"/>
      <c r="GX396" s="5"/>
      <c r="GY396" s="5"/>
      <c r="GZ396" s="5"/>
      <c r="HA396" s="5"/>
      <c r="HB396" s="5"/>
      <c r="HC396" s="5"/>
      <c r="HD396" s="5"/>
      <c r="HE396" s="5"/>
      <c r="HF396" s="5"/>
      <c r="HG396" s="5"/>
      <c r="HH396" s="5"/>
      <c r="HI396" s="5"/>
      <c r="HJ396" s="5"/>
      <c r="HK396" s="5"/>
      <c r="HL396" s="5"/>
      <c r="HM396" s="5"/>
      <c r="HN396" s="5"/>
      <c r="HO396" s="5"/>
      <c r="HP396" s="5"/>
      <c r="HQ396" s="5"/>
      <c r="HR396" s="5"/>
      <c r="HS396" s="5"/>
      <c r="HT396" s="5"/>
      <c r="HU396" s="5"/>
      <c r="HV396" s="5"/>
    </row>
    <row r="397" spans="21:230" ht="12.75">
      <c r="U397" s="5"/>
      <c r="V397" s="5"/>
      <c r="W397" s="5"/>
      <c r="X397" s="5"/>
      <c r="Y397" s="5"/>
      <c r="AA397" s="5"/>
      <c r="AB397" s="5"/>
      <c r="AC397" s="5"/>
      <c r="AD397" s="5"/>
      <c r="AE397" s="5"/>
      <c r="AY397" s="5"/>
      <c r="AZ397" s="5"/>
      <c r="BA397" s="5"/>
      <c r="BB397" s="5"/>
      <c r="BC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  <c r="GR397" s="5"/>
      <c r="GS397" s="5"/>
      <c r="GT397" s="5"/>
      <c r="GU397" s="5"/>
      <c r="GV397" s="5"/>
      <c r="GW397" s="5"/>
      <c r="GX397" s="5"/>
      <c r="GY397" s="5"/>
      <c r="GZ397" s="5"/>
      <c r="HA397" s="5"/>
      <c r="HB397" s="5"/>
      <c r="HC397" s="5"/>
      <c r="HD397" s="5"/>
      <c r="HE397" s="5"/>
      <c r="HF397" s="5"/>
      <c r="HG397" s="5"/>
      <c r="HH397" s="5"/>
      <c r="HI397" s="5"/>
      <c r="HJ397" s="5"/>
      <c r="HK397" s="5"/>
      <c r="HL397" s="5"/>
      <c r="HM397" s="5"/>
      <c r="HN397" s="5"/>
      <c r="HO397" s="5"/>
      <c r="HP397" s="5"/>
      <c r="HQ397" s="5"/>
      <c r="HR397" s="5"/>
      <c r="HS397" s="5"/>
      <c r="HT397" s="5"/>
      <c r="HU397" s="5"/>
      <c r="HV397" s="5"/>
    </row>
    <row r="398" spans="21:230" ht="12.75">
      <c r="U398" s="5"/>
      <c r="V398" s="5"/>
      <c r="W398" s="5"/>
      <c r="X398" s="5"/>
      <c r="Y398" s="5"/>
      <c r="AA398" s="5"/>
      <c r="AB398" s="5"/>
      <c r="AC398" s="5"/>
      <c r="AD398" s="5"/>
      <c r="AE398" s="5"/>
      <c r="AY398" s="5"/>
      <c r="AZ398" s="5"/>
      <c r="BA398" s="5"/>
      <c r="BB398" s="5"/>
      <c r="BC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  <c r="GR398" s="5"/>
      <c r="GS398" s="5"/>
      <c r="GT398" s="5"/>
      <c r="GU398" s="5"/>
      <c r="GV398" s="5"/>
      <c r="GW398" s="5"/>
      <c r="GX398" s="5"/>
      <c r="GY398" s="5"/>
      <c r="GZ398" s="5"/>
      <c r="HA398" s="5"/>
      <c r="HB398" s="5"/>
      <c r="HC398" s="5"/>
      <c r="HD398" s="5"/>
      <c r="HE398" s="5"/>
      <c r="HF398" s="5"/>
      <c r="HG398" s="5"/>
      <c r="HH398" s="5"/>
      <c r="HI398" s="5"/>
      <c r="HJ398" s="5"/>
      <c r="HK398" s="5"/>
      <c r="HL398" s="5"/>
      <c r="HM398" s="5"/>
      <c r="HN398" s="5"/>
      <c r="HO398" s="5"/>
      <c r="HP398" s="5"/>
      <c r="HQ398" s="5"/>
      <c r="HR398" s="5"/>
      <c r="HS398" s="5"/>
      <c r="HT398" s="5"/>
      <c r="HU398" s="5"/>
      <c r="HV398" s="5"/>
    </row>
    <row r="399" spans="21:230" ht="12.75">
      <c r="U399" s="5"/>
      <c r="V399" s="5"/>
      <c r="W399" s="5"/>
      <c r="X399" s="5"/>
      <c r="Y399" s="5"/>
      <c r="AA399" s="5"/>
      <c r="AB399" s="5"/>
      <c r="AC399" s="5"/>
      <c r="AD399" s="5"/>
      <c r="AE399" s="5"/>
      <c r="AY399" s="5"/>
      <c r="AZ399" s="5"/>
      <c r="BA399" s="5"/>
      <c r="BB399" s="5"/>
      <c r="BC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  <c r="GL399" s="5"/>
      <c r="GM399" s="5"/>
      <c r="GN399" s="5"/>
      <c r="GO399" s="5"/>
      <c r="GP399" s="5"/>
      <c r="GQ399" s="5"/>
      <c r="GR399" s="5"/>
      <c r="GS399" s="5"/>
      <c r="GT399" s="5"/>
      <c r="GU399" s="5"/>
      <c r="GV399" s="5"/>
      <c r="GW399" s="5"/>
      <c r="GX399" s="5"/>
      <c r="GY399" s="5"/>
      <c r="GZ399" s="5"/>
      <c r="HA399" s="5"/>
      <c r="HB399" s="5"/>
      <c r="HC399" s="5"/>
      <c r="HD399" s="5"/>
      <c r="HE399" s="5"/>
      <c r="HF399" s="5"/>
      <c r="HG399" s="5"/>
      <c r="HH399" s="5"/>
      <c r="HI399" s="5"/>
      <c r="HJ399" s="5"/>
      <c r="HK399" s="5"/>
      <c r="HL399" s="5"/>
      <c r="HM399" s="5"/>
      <c r="HN399" s="5"/>
      <c r="HO399" s="5"/>
      <c r="HP399" s="5"/>
      <c r="HQ399" s="5"/>
      <c r="HR399" s="5"/>
      <c r="HS399" s="5"/>
      <c r="HT399" s="5"/>
      <c r="HU399" s="5"/>
      <c r="HV399" s="5"/>
    </row>
    <row r="400" spans="21:230" ht="12.75">
      <c r="U400" s="5"/>
      <c r="V400" s="5"/>
      <c r="W400" s="5"/>
      <c r="X400" s="5"/>
      <c r="Y400" s="5"/>
      <c r="AA400" s="5"/>
      <c r="AB400" s="5"/>
      <c r="AC400" s="5"/>
      <c r="AD400" s="5"/>
      <c r="AE400" s="5"/>
      <c r="AY400" s="5"/>
      <c r="AZ400" s="5"/>
      <c r="BA400" s="5"/>
      <c r="BB400" s="5"/>
      <c r="BC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  <c r="GL400" s="5"/>
      <c r="GM400" s="5"/>
      <c r="GN400" s="5"/>
      <c r="GO400" s="5"/>
      <c r="GP400" s="5"/>
      <c r="GQ400" s="5"/>
      <c r="GR400" s="5"/>
      <c r="GS400" s="5"/>
      <c r="GT400" s="5"/>
      <c r="GU400" s="5"/>
      <c r="GV400" s="5"/>
      <c r="GW400" s="5"/>
      <c r="GX400" s="5"/>
      <c r="GY400" s="5"/>
      <c r="GZ400" s="5"/>
      <c r="HA400" s="5"/>
      <c r="HB400" s="5"/>
      <c r="HC400" s="5"/>
      <c r="HD400" s="5"/>
      <c r="HE400" s="5"/>
      <c r="HF400" s="5"/>
      <c r="HG400" s="5"/>
      <c r="HH400" s="5"/>
      <c r="HI400" s="5"/>
      <c r="HJ400" s="5"/>
      <c r="HK400" s="5"/>
      <c r="HL400" s="5"/>
      <c r="HM400" s="5"/>
      <c r="HN400" s="5"/>
      <c r="HO400" s="5"/>
      <c r="HP400" s="5"/>
      <c r="HQ400" s="5"/>
      <c r="HR400" s="5"/>
      <c r="HS400" s="5"/>
      <c r="HT400" s="5"/>
      <c r="HU400" s="5"/>
      <c r="HV400" s="5"/>
    </row>
    <row r="401" spans="21:230" ht="12.75">
      <c r="U401" s="5"/>
      <c r="V401" s="5"/>
      <c r="W401" s="5"/>
      <c r="X401" s="5"/>
      <c r="Y401" s="5"/>
      <c r="AA401" s="5"/>
      <c r="AB401" s="5"/>
      <c r="AC401" s="5"/>
      <c r="AD401" s="5"/>
      <c r="AE401" s="5"/>
      <c r="AY401" s="5"/>
      <c r="AZ401" s="5"/>
      <c r="BA401" s="5"/>
      <c r="BB401" s="5"/>
      <c r="BC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  <c r="GR401" s="5"/>
      <c r="GS401" s="5"/>
      <c r="GT401" s="5"/>
      <c r="GU401" s="5"/>
      <c r="GV401" s="5"/>
      <c r="GW401" s="5"/>
      <c r="GX401" s="5"/>
      <c r="GY401" s="5"/>
      <c r="GZ401" s="5"/>
      <c r="HA401" s="5"/>
      <c r="HB401" s="5"/>
      <c r="HC401" s="5"/>
      <c r="HD401" s="5"/>
      <c r="HE401" s="5"/>
      <c r="HF401" s="5"/>
      <c r="HG401" s="5"/>
      <c r="HH401" s="5"/>
      <c r="HI401" s="5"/>
      <c r="HJ401" s="5"/>
      <c r="HK401" s="5"/>
      <c r="HL401" s="5"/>
      <c r="HM401" s="5"/>
      <c r="HN401" s="5"/>
      <c r="HO401" s="5"/>
      <c r="HP401" s="5"/>
      <c r="HQ401" s="5"/>
      <c r="HR401" s="5"/>
      <c r="HS401" s="5"/>
      <c r="HT401" s="5"/>
      <c r="HU401" s="5"/>
      <c r="HV401" s="5"/>
    </row>
    <row r="402" spans="21:230" ht="12.75">
      <c r="U402" s="5"/>
      <c r="V402" s="5"/>
      <c r="W402" s="5"/>
      <c r="X402" s="5"/>
      <c r="Y402" s="5"/>
      <c r="AA402" s="5"/>
      <c r="AB402" s="5"/>
      <c r="AC402" s="5"/>
      <c r="AD402" s="5"/>
      <c r="AE402" s="5"/>
      <c r="AY402" s="5"/>
      <c r="AZ402" s="5"/>
      <c r="BA402" s="5"/>
      <c r="BB402" s="5"/>
      <c r="BC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  <c r="GL402" s="5"/>
      <c r="GM402" s="5"/>
      <c r="GN402" s="5"/>
      <c r="GO402" s="5"/>
      <c r="GP402" s="5"/>
      <c r="GQ402" s="5"/>
      <c r="GR402" s="5"/>
      <c r="GS402" s="5"/>
      <c r="GT402" s="5"/>
      <c r="GU402" s="5"/>
      <c r="GV402" s="5"/>
      <c r="GW402" s="5"/>
      <c r="GX402" s="5"/>
      <c r="GY402" s="5"/>
      <c r="GZ402" s="5"/>
      <c r="HA402" s="5"/>
      <c r="HB402" s="5"/>
      <c r="HC402" s="5"/>
      <c r="HD402" s="5"/>
      <c r="HE402" s="5"/>
      <c r="HF402" s="5"/>
      <c r="HG402" s="5"/>
      <c r="HH402" s="5"/>
      <c r="HI402" s="5"/>
      <c r="HJ402" s="5"/>
      <c r="HK402" s="5"/>
      <c r="HL402" s="5"/>
      <c r="HM402" s="5"/>
      <c r="HN402" s="5"/>
      <c r="HO402" s="5"/>
      <c r="HP402" s="5"/>
      <c r="HQ402" s="5"/>
      <c r="HR402" s="5"/>
      <c r="HS402" s="5"/>
      <c r="HT402" s="5"/>
      <c r="HU402" s="5"/>
      <c r="HV402" s="5"/>
    </row>
    <row r="403" spans="21:230" ht="12.75">
      <c r="U403" s="5"/>
      <c r="V403" s="5"/>
      <c r="W403" s="5"/>
      <c r="X403" s="5"/>
      <c r="Y403" s="5"/>
      <c r="AA403" s="5"/>
      <c r="AB403" s="5"/>
      <c r="AC403" s="5"/>
      <c r="AD403" s="5"/>
      <c r="AE403" s="5"/>
      <c r="AY403" s="5"/>
      <c r="AZ403" s="5"/>
      <c r="BA403" s="5"/>
      <c r="BB403" s="5"/>
      <c r="BC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  <c r="GR403" s="5"/>
      <c r="GS403" s="5"/>
      <c r="GT403" s="5"/>
      <c r="GU403" s="5"/>
      <c r="GV403" s="5"/>
      <c r="GW403" s="5"/>
      <c r="GX403" s="5"/>
      <c r="GY403" s="5"/>
      <c r="GZ403" s="5"/>
      <c r="HA403" s="5"/>
      <c r="HB403" s="5"/>
      <c r="HC403" s="5"/>
      <c r="HD403" s="5"/>
      <c r="HE403" s="5"/>
      <c r="HF403" s="5"/>
      <c r="HG403" s="5"/>
      <c r="HH403" s="5"/>
      <c r="HI403" s="5"/>
      <c r="HJ403" s="5"/>
      <c r="HK403" s="5"/>
      <c r="HL403" s="5"/>
      <c r="HM403" s="5"/>
      <c r="HN403" s="5"/>
      <c r="HO403" s="5"/>
      <c r="HP403" s="5"/>
      <c r="HQ403" s="5"/>
      <c r="HR403" s="5"/>
      <c r="HS403" s="5"/>
      <c r="HT403" s="5"/>
      <c r="HU403" s="5"/>
      <c r="HV403" s="5"/>
    </row>
    <row r="404" spans="21:230" ht="12.75">
      <c r="U404" s="5"/>
      <c r="V404" s="5"/>
      <c r="W404" s="5"/>
      <c r="X404" s="5"/>
      <c r="Y404" s="5"/>
      <c r="AA404" s="5"/>
      <c r="AB404" s="5"/>
      <c r="AC404" s="5"/>
      <c r="AD404" s="5"/>
      <c r="AE404" s="5"/>
      <c r="AY404" s="5"/>
      <c r="AZ404" s="5"/>
      <c r="BA404" s="5"/>
      <c r="BB404" s="5"/>
      <c r="BC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  <c r="GR404" s="5"/>
      <c r="GS404" s="5"/>
      <c r="GT404" s="5"/>
      <c r="GU404" s="5"/>
      <c r="GV404" s="5"/>
      <c r="GW404" s="5"/>
      <c r="GX404" s="5"/>
      <c r="GY404" s="5"/>
      <c r="GZ404" s="5"/>
      <c r="HA404" s="5"/>
      <c r="HB404" s="5"/>
      <c r="HC404" s="5"/>
      <c r="HD404" s="5"/>
      <c r="HE404" s="5"/>
      <c r="HF404" s="5"/>
      <c r="HG404" s="5"/>
      <c r="HH404" s="5"/>
      <c r="HI404" s="5"/>
      <c r="HJ404" s="5"/>
      <c r="HK404" s="5"/>
      <c r="HL404" s="5"/>
      <c r="HM404" s="5"/>
      <c r="HN404" s="5"/>
      <c r="HO404" s="5"/>
      <c r="HP404" s="5"/>
      <c r="HQ404" s="5"/>
      <c r="HR404" s="5"/>
      <c r="HS404" s="5"/>
      <c r="HT404" s="5"/>
      <c r="HU404" s="5"/>
      <c r="HV404" s="5"/>
    </row>
    <row r="405" spans="21:230" ht="12.75">
      <c r="U405" s="5"/>
      <c r="V405" s="5"/>
      <c r="W405" s="5"/>
      <c r="X405" s="5"/>
      <c r="Y405" s="5"/>
      <c r="AA405" s="5"/>
      <c r="AB405" s="5"/>
      <c r="AC405" s="5"/>
      <c r="AD405" s="5"/>
      <c r="AE405" s="5"/>
      <c r="AY405" s="5"/>
      <c r="AZ405" s="5"/>
      <c r="BA405" s="5"/>
      <c r="BB405" s="5"/>
      <c r="BC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  <c r="GR405" s="5"/>
      <c r="GS405" s="5"/>
      <c r="GT405" s="5"/>
      <c r="GU405" s="5"/>
      <c r="GV405" s="5"/>
      <c r="GW405" s="5"/>
      <c r="GX405" s="5"/>
      <c r="GY405" s="5"/>
      <c r="GZ405" s="5"/>
      <c r="HA405" s="5"/>
      <c r="HB405" s="5"/>
      <c r="HC405" s="5"/>
      <c r="HD405" s="5"/>
      <c r="HE405" s="5"/>
      <c r="HF405" s="5"/>
      <c r="HG405" s="5"/>
      <c r="HH405" s="5"/>
      <c r="HI405" s="5"/>
      <c r="HJ405" s="5"/>
      <c r="HK405" s="5"/>
      <c r="HL405" s="5"/>
      <c r="HM405" s="5"/>
      <c r="HN405" s="5"/>
      <c r="HO405" s="5"/>
      <c r="HP405" s="5"/>
      <c r="HQ405" s="5"/>
      <c r="HR405" s="5"/>
      <c r="HS405" s="5"/>
      <c r="HT405" s="5"/>
      <c r="HU405" s="5"/>
      <c r="HV405" s="5"/>
    </row>
    <row r="406" spans="21:230" ht="12.75">
      <c r="U406" s="5"/>
      <c r="V406" s="5"/>
      <c r="W406" s="5"/>
      <c r="X406" s="5"/>
      <c r="Y406" s="5"/>
      <c r="AA406" s="5"/>
      <c r="AB406" s="5"/>
      <c r="AC406" s="5"/>
      <c r="AD406" s="5"/>
      <c r="AE406" s="5"/>
      <c r="AY406" s="5"/>
      <c r="AZ406" s="5"/>
      <c r="BA406" s="5"/>
      <c r="BB406" s="5"/>
      <c r="BC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  <c r="GL406" s="5"/>
      <c r="GM406" s="5"/>
      <c r="GN406" s="5"/>
      <c r="GO406" s="5"/>
      <c r="GP406" s="5"/>
      <c r="GQ406" s="5"/>
      <c r="GR406" s="5"/>
      <c r="GS406" s="5"/>
      <c r="GT406" s="5"/>
      <c r="GU406" s="5"/>
      <c r="GV406" s="5"/>
      <c r="GW406" s="5"/>
      <c r="GX406" s="5"/>
      <c r="GY406" s="5"/>
      <c r="GZ406" s="5"/>
      <c r="HA406" s="5"/>
      <c r="HB406" s="5"/>
      <c r="HC406" s="5"/>
      <c r="HD406" s="5"/>
      <c r="HE406" s="5"/>
      <c r="HF406" s="5"/>
      <c r="HG406" s="5"/>
      <c r="HH406" s="5"/>
      <c r="HI406" s="5"/>
      <c r="HJ406" s="5"/>
      <c r="HK406" s="5"/>
      <c r="HL406" s="5"/>
      <c r="HM406" s="5"/>
      <c r="HN406" s="5"/>
      <c r="HO406" s="5"/>
      <c r="HP406" s="5"/>
      <c r="HQ406" s="5"/>
      <c r="HR406" s="5"/>
      <c r="HS406" s="5"/>
      <c r="HT406" s="5"/>
      <c r="HU406" s="5"/>
      <c r="HV406" s="5"/>
    </row>
    <row r="407" spans="21:230" ht="12.75">
      <c r="U407" s="5"/>
      <c r="V407" s="5"/>
      <c r="W407" s="5"/>
      <c r="X407" s="5"/>
      <c r="Y407" s="5"/>
      <c r="AA407" s="5"/>
      <c r="AB407" s="5"/>
      <c r="AC407" s="5"/>
      <c r="AD407" s="5"/>
      <c r="AE407" s="5"/>
      <c r="AY407" s="5"/>
      <c r="AZ407" s="5"/>
      <c r="BA407" s="5"/>
      <c r="BB407" s="5"/>
      <c r="BC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  <c r="GL407" s="5"/>
      <c r="GM407" s="5"/>
      <c r="GN407" s="5"/>
      <c r="GO407" s="5"/>
      <c r="GP407" s="5"/>
      <c r="GQ407" s="5"/>
      <c r="GR407" s="5"/>
      <c r="GS407" s="5"/>
      <c r="GT407" s="5"/>
      <c r="GU407" s="5"/>
      <c r="GV407" s="5"/>
      <c r="GW407" s="5"/>
      <c r="GX407" s="5"/>
      <c r="GY407" s="5"/>
      <c r="GZ407" s="5"/>
      <c r="HA407" s="5"/>
      <c r="HB407" s="5"/>
      <c r="HC407" s="5"/>
      <c r="HD407" s="5"/>
      <c r="HE407" s="5"/>
      <c r="HF407" s="5"/>
      <c r="HG407" s="5"/>
      <c r="HH407" s="5"/>
      <c r="HI407" s="5"/>
      <c r="HJ407" s="5"/>
      <c r="HK407" s="5"/>
      <c r="HL407" s="5"/>
      <c r="HM407" s="5"/>
      <c r="HN407" s="5"/>
      <c r="HO407" s="5"/>
      <c r="HP407" s="5"/>
      <c r="HQ407" s="5"/>
      <c r="HR407" s="5"/>
      <c r="HS407" s="5"/>
      <c r="HT407" s="5"/>
      <c r="HU407" s="5"/>
      <c r="HV407" s="5"/>
    </row>
    <row r="408" spans="21:230" ht="12.75">
      <c r="U408" s="5"/>
      <c r="V408" s="5"/>
      <c r="W408" s="5"/>
      <c r="X408" s="5"/>
      <c r="Y408" s="5"/>
      <c r="AA408" s="5"/>
      <c r="AB408" s="5"/>
      <c r="AC408" s="5"/>
      <c r="AD408" s="5"/>
      <c r="AE408" s="5"/>
      <c r="AY408" s="5"/>
      <c r="AZ408" s="5"/>
      <c r="BA408" s="5"/>
      <c r="BB408" s="5"/>
      <c r="BC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  <c r="GL408" s="5"/>
      <c r="GM408" s="5"/>
      <c r="GN408" s="5"/>
      <c r="GO408" s="5"/>
      <c r="GP408" s="5"/>
      <c r="GQ408" s="5"/>
      <c r="GR408" s="5"/>
      <c r="GS408" s="5"/>
      <c r="GT408" s="5"/>
      <c r="GU408" s="5"/>
      <c r="GV408" s="5"/>
      <c r="GW408" s="5"/>
      <c r="GX408" s="5"/>
      <c r="GY408" s="5"/>
      <c r="GZ408" s="5"/>
      <c r="HA408" s="5"/>
      <c r="HB408" s="5"/>
      <c r="HC408" s="5"/>
      <c r="HD408" s="5"/>
      <c r="HE408" s="5"/>
      <c r="HF408" s="5"/>
      <c r="HG408" s="5"/>
      <c r="HH408" s="5"/>
      <c r="HI408" s="5"/>
      <c r="HJ408" s="5"/>
      <c r="HK408" s="5"/>
      <c r="HL408" s="5"/>
      <c r="HM408" s="5"/>
      <c r="HN408" s="5"/>
      <c r="HO408" s="5"/>
      <c r="HP408" s="5"/>
      <c r="HQ408" s="5"/>
      <c r="HR408" s="5"/>
      <c r="HS408" s="5"/>
      <c r="HT408" s="5"/>
      <c r="HU408" s="5"/>
      <c r="HV408" s="5"/>
    </row>
    <row r="409" spans="21:230" ht="12.75">
      <c r="U409" s="5"/>
      <c r="V409" s="5"/>
      <c r="W409" s="5"/>
      <c r="X409" s="5"/>
      <c r="Y409" s="5"/>
      <c r="AA409" s="5"/>
      <c r="AB409" s="5"/>
      <c r="AC409" s="5"/>
      <c r="AD409" s="5"/>
      <c r="AE409" s="5"/>
      <c r="AY409" s="5"/>
      <c r="AZ409" s="5"/>
      <c r="BA409" s="5"/>
      <c r="BB409" s="5"/>
      <c r="BC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  <c r="GR409" s="5"/>
      <c r="GS409" s="5"/>
      <c r="GT409" s="5"/>
      <c r="GU409" s="5"/>
      <c r="GV409" s="5"/>
      <c r="GW409" s="5"/>
      <c r="GX409" s="5"/>
      <c r="GY409" s="5"/>
      <c r="GZ409" s="5"/>
      <c r="HA409" s="5"/>
      <c r="HB409" s="5"/>
      <c r="HC409" s="5"/>
      <c r="HD409" s="5"/>
      <c r="HE409" s="5"/>
      <c r="HF409" s="5"/>
      <c r="HG409" s="5"/>
      <c r="HH409" s="5"/>
      <c r="HI409" s="5"/>
      <c r="HJ409" s="5"/>
      <c r="HK409" s="5"/>
      <c r="HL409" s="5"/>
      <c r="HM409" s="5"/>
      <c r="HN409" s="5"/>
      <c r="HO409" s="5"/>
      <c r="HP409" s="5"/>
      <c r="HQ409" s="5"/>
      <c r="HR409" s="5"/>
      <c r="HS409" s="5"/>
      <c r="HT409" s="5"/>
      <c r="HU409" s="5"/>
      <c r="HV409" s="5"/>
    </row>
    <row r="410" spans="21:230" ht="12.75">
      <c r="U410" s="5"/>
      <c r="V410" s="5"/>
      <c r="W410" s="5"/>
      <c r="X410" s="5"/>
      <c r="Y410" s="5"/>
      <c r="AA410" s="5"/>
      <c r="AB410" s="5"/>
      <c r="AC410" s="5"/>
      <c r="AD410" s="5"/>
      <c r="AE410" s="5"/>
      <c r="AY410" s="5"/>
      <c r="AZ410" s="5"/>
      <c r="BA410" s="5"/>
      <c r="BB410" s="5"/>
      <c r="BC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  <c r="GR410" s="5"/>
      <c r="GS410" s="5"/>
      <c r="GT410" s="5"/>
      <c r="GU410" s="5"/>
      <c r="GV410" s="5"/>
      <c r="GW410" s="5"/>
      <c r="GX410" s="5"/>
      <c r="GY410" s="5"/>
      <c r="GZ410" s="5"/>
      <c r="HA410" s="5"/>
      <c r="HB410" s="5"/>
      <c r="HC410" s="5"/>
      <c r="HD410" s="5"/>
      <c r="HE410" s="5"/>
      <c r="HF410" s="5"/>
      <c r="HG410" s="5"/>
      <c r="HH410" s="5"/>
      <c r="HI410" s="5"/>
      <c r="HJ410" s="5"/>
      <c r="HK410" s="5"/>
      <c r="HL410" s="5"/>
      <c r="HM410" s="5"/>
      <c r="HN410" s="5"/>
      <c r="HO410" s="5"/>
      <c r="HP410" s="5"/>
      <c r="HQ410" s="5"/>
      <c r="HR410" s="5"/>
      <c r="HS410" s="5"/>
      <c r="HT410" s="5"/>
      <c r="HU410" s="5"/>
      <c r="HV410" s="5"/>
    </row>
    <row r="411" spans="21:230" ht="12.75">
      <c r="U411" s="5"/>
      <c r="V411" s="5"/>
      <c r="W411" s="5"/>
      <c r="X411" s="5"/>
      <c r="Y411" s="5"/>
      <c r="AA411" s="5"/>
      <c r="AB411" s="5"/>
      <c r="AC411" s="5"/>
      <c r="AD411" s="5"/>
      <c r="AE411" s="5"/>
      <c r="AY411" s="5"/>
      <c r="AZ411" s="5"/>
      <c r="BA411" s="5"/>
      <c r="BB411" s="5"/>
      <c r="BC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  <c r="GR411" s="5"/>
      <c r="GS411" s="5"/>
      <c r="GT411" s="5"/>
      <c r="GU411" s="5"/>
      <c r="GV411" s="5"/>
      <c r="GW411" s="5"/>
      <c r="GX411" s="5"/>
      <c r="GY411" s="5"/>
      <c r="GZ411" s="5"/>
      <c r="HA411" s="5"/>
      <c r="HB411" s="5"/>
      <c r="HC411" s="5"/>
      <c r="HD411" s="5"/>
      <c r="HE411" s="5"/>
      <c r="HF411" s="5"/>
      <c r="HG411" s="5"/>
      <c r="HH411" s="5"/>
      <c r="HI411" s="5"/>
      <c r="HJ411" s="5"/>
      <c r="HK411" s="5"/>
      <c r="HL411" s="5"/>
      <c r="HM411" s="5"/>
      <c r="HN411" s="5"/>
      <c r="HO411" s="5"/>
      <c r="HP411" s="5"/>
      <c r="HQ411" s="5"/>
      <c r="HR411" s="5"/>
      <c r="HS411" s="5"/>
      <c r="HT411" s="5"/>
      <c r="HU411" s="5"/>
      <c r="HV411" s="5"/>
    </row>
    <row r="412" spans="21:230" ht="12.75">
      <c r="U412" s="5"/>
      <c r="V412" s="5"/>
      <c r="W412" s="5"/>
      <c r="X412" s="5"/>
      <c r="Y412" s="5"/>
      <c r="AA412" s="5"/>
      <c r="AB412" s="5"/>
      <c r="AC412" s="5"/>
      <c r="AD412" s="5"/>
      <c r="AE412" s="5"/>
      <c r="AY412" s="5"/>
      <c r="AZ412" s="5"/>
      <c r="BA412" s="5"/>
      <c r="BB412" s="5"/>
      <c r="BC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  <c r="GL412" s="5"/>
      <c r="GM412" s="5"/>
      <c r="GN412" s="5"/>
      <c r="GO412" s="5"/>
      <c r="GP412" s="5"/>
      <c r="GQ412" s="5"/>
      <c r="GR412" s="5"/>
      <c r="GS412" s="5"/>
      <c r="GT412" s="5"/>
      <c r="GU412" s="5"/>
      <c r="GV412" s="5"/>
      <c r="GW412" s="5"/>
      <c r="GX412" s="5"/>
      <c r="GY412" s="5"/>
      <c r="GZ412" s="5"/>
      <c r="HA412" s="5"/>
      <c r="HB412" s="5"/>
      <c r="HC412" s="5"/>
      <c r="HD412" s="5"/>
      <c r="HE412" s="5"/>
      <c r="HF412" s="5"/>
      <c r="HG412" s="5"/>
      <c r="HH412" s="5"/>
      <c r="HI412" s="5"/>
      <c r="HJ412" s="5"/>
      <c r="HK412" s="5"/>
      <c r="HL412" s="5"/>
      <c r="HM412" s="5"/>
      <c r="HN412" s="5"/>
      <c r="HO412" s="5"/>
      <c r="HP412" s="5"/>
      <c r="HQ412" s="5"/>
      <c r="HR412" s="5"/>
      <c r="HS412" s="5"/>
      <c r="HT412" s="5"/>
      <c r="HU412" s="5"/>
      <c r="HV412" s="5"/>
    </row>
    <row r="413" spans="21:230" ht="12.75">
      <c r="U413" s="5"/>
      <c r="V413" s="5"/>
      <c r="W413" s="5"/>
      <c r="X413" s="5"/>
      <c r="Y413" s="5"/>
      <c r="AA413" s="5"/>
      <c r="AB413" s="5"/>
      <c r="AC413" s="5"/>
      <c r="AD413" s="5"/>
      <c r="AE413" s="5"/>
      <c r="AY413" s="5"/>
      <c r="AZ413" s="5"/>
      <c r="BA413" s="5"/>
      <c r="BB413" s="5"/>
      <c r="BC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  <c r="GL413" s="5"/>
      <c r="GM413" s="5"/>
      <c r="GN413" s="5"/>
      <c r="GO413" s="5"/>
      <c r="GP413" s="5"/>
      <c r="GQ413" s="5"/>
      <c r="GR413" s="5"/>
      <c r="GS413" s="5"/>
      <c r="GT413" s="5"/>
      <c r="GU413" s="5"/>
      <c r="GV413" s="5"/>
      <c r="GW413" s="5"/>
      <c r="GX413" s="5"/>
      <c r="GY413" s="5"/>
      <c r="GZ413" s="5"/>
      <c r="HA413" s="5"/>
      <c r="HB413" s="5"/>
      <c r="HC413" s="5"/>
      <c r="HD413" s="5"/>
      <c r="HE413" s="5"/>
      <c r="HF413" s="5"/>
      <c r="HG413" s="5"/>
      <c r="HH413" s="5"/>
      <c r="HI413" s="5"/>
      <c r="HJ413" s="5"/>
      <c r="HK413" s="5"/>
      <c r="HL413" s="5"/>
      <c r="HM413" s="5"/>
      <c r="HN413" s="5"/>
      <c r="HO413" s="5"/>
      <c r="HP413" s="5"/>
      <c r="HQ413" s="5"/>
      <c r="HR413" s="5"/>
      <c r="HS413" s="5"/>
      <c r="HT413" s="5"/>
      <c r="HU413" s="5"/>
      <c r="HV413" s="5"/>
    </row>
    <row r="414" spans="21:230" ht="12.75">
      <c r="U414" s="5"/>
      <c r="V414" s="5"/>
      <c r="W414" s="5"/>
      <c r="X414" s="5"/>
      <c r="Y414" s="5"/>
      <c r="AA414" s="5"/>
      <c r="AB414" s="5"/>
      <c r="AC414" s="5"/>
      <c r="AD414" s="5"/>
      <c r="AE414" s="5"/>
      <c r="AY414" s="5"/>
      <c r="AZ414" s="5"/>
      <c r="BA414" s="5"/>
      <c r="BB414" s="5"/>
      <c r="BC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  <c r="GR414" s="5"/>
      <c r="GS414" s="5"/>
      <c r="GT414" s="5"/>
      <c r="GU414" s="5"/>
      <c r="GV414" s="5"/>
      <c r="GW414" s="5"/>
      <c r="GX414" s="5"/>
      <c r="GY414" s="5"/>
      <c r="GZ414" s="5"/>
      <c r="HA414" s="5"/>
      <c r="HB414" s="5"/>
      <c r="HC414" s="5"/>
      <c r="HD414" s="5"/>
      <c r="HE414" s="5"/>
      <c r="HF414" s="5"/>
      <c r="HG414" s="5"/>
      <c r="HH414" s="5"/>
      <c r="HI414" s="5"/>
      <c r="HJ414" s="5"/>
      <c r="HK414" s="5"/>
      <c r="HL414" s="5"/>
      <c r="HM414" s="5"/>
      <c r="HN414" s="5"/>
      <c r="HO414" s="5"/>
      <c r="HP414" s="5"/>
      <c r="HQ414" s="5"/>
      <c r="HR414" s="5"/>
      <c r="HS414" s="5"/>
      <c r="HT414" s="5"/>
      <c r="HU414" s="5"/>
      <c r="HV414" s="5"/>
    </row>
    <row r="415" spans="21:230" ht="12.75">
      <c r="U415" s="5"/>
      <c r="V415" s="5"/>
      <c r="W415" s="5"/>
      <c r="X415" s="5"/>
      <c r="Y415" s="5"/>
      <c r="AA415" s="5"/>
      <c r="AB415" s="5"/>
      <c r="AC415" s="5"/>
      <c r="AD415" s="5"/>
      <c r="AE415" s="5"/>
      <c r="AY415" s="5"/>
      <c r="AZ415" s="5"/>
      <c r="BA415" s="5"/>
      <c r="BB415" s="5"/>
      <c r="BC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  <c r="GL415" s="5"/>
      <c r="GM415" s="5"/>
      <c r="GN415" s="5"/>
      <c r="GO415" s="5"/>
      <c r="GP415" s="5"/>
      <c r="GQ415" s="5"/>
      <c r="GR415" s="5"/>
      <c r="GS415" s="5"/>
      <c r="GT415" s="5"/>
      <c r="GU415" s="5"/>
      <c r="GV415" s="5"/>
      <c r="GW415" s="5"/>
      <c r="GX415" s="5"/>
      <c r="GY415" s="5"/>
      <c r="GZ415" s="5"/>
      <c r="HA415" s="5"/>
      <c r="HB415" s="5"/>
      <c r="HC415" s="5"/>
      <c r="HD415" s="5"/>
      <c r="HE415" s="5"/>
      <c r="HF415" s="5"/>
      <c r="HG415" s="5"/>
      <c r="HH415" s="5"/>
      <c r="HI415" s="5"/>
      <c r="HJ415" s="5"/>
      <c r="HK415" s="5"/>
      <c r="HL415" s="5"/>
      <c r="HM415" s="5"/>
      <c r="HN415" s="5"/>
      <c r="HO415" s="5"/>
      <c r="HP415" s="5"/>
      <c r="HQ415" s="5"/>
      <c r="HR415" s="5"/>
      <c r="HS415" s="5"/>
      <c r="HT415" s="5"/>
      <c r="HU415" s="5"/>
      <c r="HV415" s="5"/>
    </row>
    <row r="416" spans="21:230" ht="12.75">
      <c r="U416" s="5"/>
      <c r="V416" s="5"/>
      <c r="W416" s="5"/>
      <c r="X416" s="5"/>
      <c r="Y416" s="5"/>
      <c r="AA416" s="5"/>
      <c r="AB416" s="5"/>
      <c r="AC416" s="5"/>
      <c r="AD416" s="5"/>
      <c r="AE416" s="5"/>
      <c r="AY416" s="5"/>
      <c r="AZ416" s="5"/>
      <c r="BA416" s="5"/>
      <c r="BB416" s="5"/>
      <c r="BC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  <c r="GL416" s="5"/>
      <c r="GM416" s="5"/>
      <c r="GN416" s="5"/>
      <c r="GO416" s="5"/>
      <c r="GP416" s="5"/>
      <c r="GQ416" s="5"/>
      <c r="GR416" s="5"/>
      <c r="GS416" s="5"/>
      <c r="GT416" s="5"/>
      <c r="GU416" s="5"/>
      <c r="GV416" s="5"/>
      <c r="GW416" s="5"/>
      <c r="GX416" s="5"/>
      <c r="GY416" s="5"/>
      <c r="GZ416" s="5"/>
      <c r="HA416" s="5"/>
      <c r="HB416" s="5"/>
      <c r="HC416" s="5"/>
      <c r="HD416" s="5"/>
      <c r="HE416" s="5"/>
      <c r="HF416" s="5"/>
      <c r="HG416" s="5"/>
      <c r="HH416" s="5"/>
      <c r="HI416" s="5"/>
      <c r="HJ416" s="5"/>
      <c r="HK416" s="5"/>
      <c r="HL416" s="5"/>
      <c r="HM416" s="5"/>
      <c r="HN416" s="5"/>
      <c r="HO416" s="5"/>
      <c r="HP416" s="5"/>
      <c r="HQ416" s="5"/>
      <c r="HR416" s="5"/>
      <c r="HS416" s="5"/>
      <c r="HT416" s="5"/>
      <c r="HU416" s="5"/>
      <c r="HV416" s="5"/>
    </row>
    <row r="417" spans="21:230" ht="12.75">
      <c r="U417" s="5"/>
      <c r="V417" s="5"/>
      <c r="W417" s="5"/>
      <c r="X417" s="5"/>
      <c r="Y417" s="5"/>
      <c r="AA417" s="5"/>
      <c r="AB417" s="5"/>
      <c r="AC417" s="5"/>
      <c r="AD417" s="5"/>
      <c r="AE417" s="5"/>
      <c r="AY417" s="5"/>
      <c r="AZ417" s="5"/>
      <c r="BA417" s="5"/>
      <c r="BB417" s="5"/>
      <c r="BC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  <c r="GL417" s="5"/>
      <c r="GM417" s="5"/>
      <c r="GN417" s="5"/>
      <c r="GO417" s="5"/>
      <c r="GP417" s="5"/>
      <c r="GQ417" s="5"/>
      <c r="GR417" s="5"/>
      <c r="GS417" s="5"/>
      <c r="GT417" s="5"/>
      <c r="GU417" s="5"/>
      <c r="GV417" s="5"/>
      <c r="GW417" s="5"/>
      <c r="GX417" s="5"/>
      <c r="GY417" s="5"/>
      <c r="GZ417" s="5"/>
      <c r="HA417" s="5"/>
      <c r="HB417" s="5"/>
      <c r="HC417" s="5"/>
      <c r="HD417" s="5"/>
      <c r="HE417" s="5"/>
      <c r="HF417" s="5"/>
      <c r="HG417" s="5"/>
      <c r="HH417" s="5"/>
      <c r="HI417" s="5"/>
      <c r="HJ417" s="5"/>
      <c r="HK417" s="5"/>
      <c r="HL417" s="5"/>
      <c r="HM417" s="5"/>
      <c r="HN417" s="5"/>
      <c r="HO417" s="5"/>
      <c r="HP417" s="5"/>
      <c r="HQ417" s="5"/>
      <c r="HR417" s="5"/>
      <c r="HS417" s="5"/>
      <c r="HT417" s="5"/>
      <c r="HU417" s="5"/>
      <c r="HV417" s="5"/>
    </row>
    <row r="418" spans="21:230" ht="12.75">
      <c r="U418" s="5"/>
      <c r="V418" s="5"/>
      <c r="W418" s="5"/>
      <c r="X418" s="5"/>
      <c r="Y418" s="5"/>
      <c r="AA418" s="5"/>
      <c r="AB418" s="5"/>
      <c r="AC418" s="5"/>
      <c r="AD418" s="5"/>
      <c r="AE418" s="5"/>
      <c r="AY418" s="5"/>
      <c r="AZ418" s="5"/>
      <c r="BA418" s="5"/>
      <c r="BB418" s="5"/>
      <c r="BC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  <c r="GL418" s="5"/>
      <c r="GM418" s="5"/>
      <c r="GN418" s="5"/>
      <c r="GO418" s="5"/>
      <c r="GP418" s="5"/>
      <c r="GQ418" s="5"/>
      <c r="GR418" s="5"/>
      <c r="GS418" s="5"/>
      <c r="GT418" s="5"/>
      <c r="GU418" s="5"/>
      <c r="GV418" s="5"/>
      <c r="GW418" s="5"/>
      <c r="GX418" s="5"/>
      <c r="GY418" s="5"/>
      <c r="GZ418" s="5"/>
      <c r="HA418" s="5"/>
      <c r="HB418" s="5"/>
      <c r="HC418" s="5"/>
      <c r="HD418" s="5"/>
      <c r="HE418" s="5"/>
      <c r="HF418" s="5"/>
      <c r="HG418" s="5"/>
      <c r="HH418" s="5"/>
      <c r="HI418" s="5"/>
      <c r="HJ418" s="5"/>
      <c r="HK418" s="5"/>
      <c r="HL418" s="5"/>
      <c r="HM418" s="5"/>
      <c r="HN418" s="5"/>
      <c r="HO418" s="5"/>
      <c r="HP418" s="5"/>
      <c r="HQ418" s="5"/>
      <c r="HR418" s="5"/>
      <c r="HS418" s="5"/>
      <c r="HT418" s="5"/>
      <c r="HU418" s="5"/>
      <c r="HV418" s="5"/>
    </row>
    <row r="419" spans="21:230" ht="12.75">
      <c r="U419" s="5"/>
      <c r="V419" s="5"/>
      <c r="W419" s="5"/>
      <c r="X419" s="5"/>
      <c r="Y419" s="5"/>
      <c r="AA419" s="5"/>
      <c r="AB419" s="5"/>
      <c r="AC419" s="5"/>
      <c r="AD419" s="5"/>
      <c r="AE419" s="5"/>
      <c r="AY419" s="5"/>
      <c r="AZ419" s="5"/>
      <c r="BA419" s="5"/>
      <c r="BB419" s="5"/>
      <c r="BC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  <c r="GL419" s="5"/>
      <c r="GM419" s="5"/>
      <c r="GN419" s="5"/>
      <c r="GO419" s="5"/>
      <c r="GP419" s="5"/>
      <c r="GQ419" s="5"/>
      <c r="GR419" s="5"/>
      <c r="GS419" s="5"/>
      <c r="GT419" s="5"/>
      <c r="GU419" s="5"/>
      <c r="GV419" s="5"/>
      <c r="GW419" s="5"/>
      <c r="GX419" s="5"/>
      <c r="GY419" s="5"/>
      <c r="GZ419" s="5"/>
      <c r="HA419" s="5"/>
      <c r="HB419" s="5"/>
      <c r="HC419" s="5"/>
      <c r="HD419" s="5"/>
      <c r="HE419" s="5"/>
      <c r="HF419" s="5"/>
      <c r="HG419" s="5"/>
      <c r="HH419" s="5"/>
      <c r="HI419" s="5"/>
      <c r="HJ419" s="5"/>
      <c r="HK419" s="5"/>
      <c r="HL419" s="5"/>
      <c r="HM419" s="5"/>
      <c r="HN419" s="5"/>
      <c r="HO419" s="5"/>
      <c r="HP419" s="5"/>
      <c r="HQ419" s="5"/>
      <c r="HR419" s="5"/>
      <c r="HS419" s="5"/>
      <c r="HT419" s="5"/>
      <c r="HU419" s="5"/>
      <c r="HV419" s="5"/>
    </row>
    <row r="420" spans="21:230" ht="12.75">
      <c r="U420" s="5"/>
      <c r="V420" s="5"/>
      <c r="W420" s="5"/>
      <c r="X420" s="5"/>
      <c r="Y420" s="5"/>
      <c r="AA420" s="5"/>
      <c r="AB420" s="5"/>
      <c r="AC420" s="5"/>
      <c r="AD420" s="5"/>
      <c r="AE420" s="5"/>
      <c r="AY420" s="5"/>
      <c r="AZ420" s="5"/>
      <c r="BA420" s="5"/>
      <c r="BB420" s="5"/>
      <c r="BC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  <c r="GR420" s="5"/>
      <c r="GS420" s="5"/>
      <c r="GT420" s="5"/>
      <c r="GU420" s="5"/>
      <c r="GV420" s="5"/>
      <c r="GW420" s="5"/>
      <c r="GX420" s="5"/>
      <c r="GY420" s="5"/>
      <c r="GZ420" s="5"/>
      <c r="HA420" s="5"/>
      <c r="HB420" s="5"/>
      <c r="HC420" s="5"/>
      <c r="HD420" s="5"/>
      <c r="HE420" s="5"/>
      <c r="HF420" s="5"/>
      <c r="HG420" s="5"/>
      <c r="HH420" s="5"/>
      <c r="HI420" s="5"/>
      <c r="HJ420" s="5"/>
      <c r="HK420" s="5"/>
      <c r="HL420" s="5"/>
      <c r="HM420" s="5"/>
      <c r="HN420" s="5"/>
      <c r="HO420" s="5"/>
      <c r="HP420" s="5"/>
      <c r="HQ420" s="5"/>
      <c r="HR420" s="5"/>
      <c r="HS420" s="5"/>
      <c r="HT420" s="5"/>
      <c r="HU420" s="5"/>
      <c r="HV420" s="5"/>
    </row>
    <row r="421" spans="21:230" ht="12.75">
      <c r="U421" s="5"/>
      <c r="V421" s="5"/>
      <c r="W421" s="5"/>
      <c r="X421" s="5"/>
      <c r="Y421" s="5"/>
      <c r="AA421" s="5"/>
      <c r="AB421" s="5"/>
      <c r="AC421" s="5"/>
      <c r="AD421" s="5"/>
      <c r="AE421" s="5"/>
      <c r="AY421" s="5"/>
      <c r="AZ421" s="5"/>
      <c r="BA421" s="5"/>
      <c r="BB421" s="5"/>
      <c r="BC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  <c r="GL421" s="5"/>
      <c r="GM421" s="5"/>
      <c r="GN421" s="5"/>
      <c r="GO421" s="5"/>
      <c r="GP421" s="5"/>
      <c r="GQ421" s="5"/>
      <c r="GR421" s="5"/>
      <c r="GS421" s="5"/>
      <c r="GT421" s="5"/>
      <c r="GU421" s="5"/>
      <c r="GV421" s="5"/>
      <c r="GW421" s="5"/>
      <c r="GX421" s="5"/>
      <c r="GY421" s="5"/>
      <c r="GZ421" s="5"/>
      <c r="HA421" s="5"/>
      <c r="HB421" s="5"/>
      <c r="HC421" s="5"/>
      <c r="HD421" s="5"/>
      <c r="HE421" s="5"/>
      <c r="HF421" s="5"/>
      <c r="HG421" s="5"/>
      <c r="HH421" s="5"/>
      <c r="HI421" s="5"/>
      <c r="HJ421" s="5"/>
      <c r="HK421" s="5"/>
      <c r="HL421" s="5"/>
      <c r="HM421" s="5"/>
      <c r="HN421" s="5"/>
      <c r="HO421" s="5"/>
      <c r="HP421" s="5"/>
      <c r="HQ421" s="5"/>
      <c r="HR421" s="5"/>
      <c r="HS421" s="5"/>
      <c r="HT421" s="5"/>
      <c r="HU421" s="5"/>
      <c r="HV421" s="5"/>
    </row>
    <row r="422" spans="21:230" ht="12.75">
      <c r="U422" s="5"/>
      <c r="V422" s="5"/>
      <c r="W422" s="5"/>
      <c r="X422" s="5"/>
      <c r="Y422" s="5"/>
      <c r="AA422" s="5"/>
      <c r="AB422" s="5"/>
      <c r="AC422" s="5"/>
      <c r="AD422" s="5"/>
      <c r="AE422" s="5"/>
      <c r="AY422" s="5"/>
      <c r="AZ422" s="5"/>
      <c r="BA422" s="5"/>
      <c r="BB422" s="5"/>
      <c r="BC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  <c r="GL422" s="5"/>
      <c r="GM422" s="5"/>
      <c r="GN422" s="5"/>
      <c r="GO422" s="5"/>
      <c r="GP422" s="5"/>
      <c r="GQ422" s="5"/>
      <c r="GR422" s="5"/>
      <c r="GS422" s="5"/>
      <c r="GT422" s="5"/>
      <c r="GU422" s="5"/>
      <c r="GV422" s="5"/>
      <c r="GW422" s="5"/>
      <c r="GX422" s="5"/>
      <c r="GY422" s="5"/>
      <c r="GZ422" s="5"/>
      <c r="HA422" s="5"/>
      <c r="HB422" s="5"/>
      <c r="HC422" s="5"/>
      <c r="HD422" s="5"/>
      <c r="HE422" s="5"/>
      <c r="HF422" s="5"/>
      <c r="HG422" s="5"/>
      <c r="HH422" s="5"/>
      <c r="HI422" s="5"/>
      <c r="HJ422" s="5"/>
      <c r="HK422" s="5"/>
      <c r="HL422" s="5"/>
      <c r="HM422" s="5"/>
      <c r="HN422" s="5"/>
      <c r="HO422" s="5"/>
      <c r="HP422" s="5"/>
      <c r="HQ422" s="5"/>
      <c r="HR422" s="5"/>
      <c r="HS422" s="5"/>
      <c r="HT422" s="5"/>
      <c r="HU422" s="5"/>
      <c r="HV422" s="5"/>
    </row>
    <row r="423" spans="21:230" ht="12.75">
      <c r="U423" s="5"/>
      <c r="V423" s="5"/>
      <c r="W423" s="5"/>
      <c r="X423" s="5"/>
      <c r="Y423" s="5"/>
      <c r="AA423" s="5"/>
      <c r="AB423" s="5"/>
      <c r="AC423" s="5"/>
      <c r="AD423" s="5"/>
      <c r="AE423" s="5"/>
      <c r="AY423" s="5"/>
      <c r="AZ423" s="5"/>
      <c r="BA423" s="5"/>
      <c r="BB423" s="5"/>
      <c r="BC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  <c r="GL423" s="5"/>
      <c r="GM423" s="5"/>
      <c r="GN423" s="5"/>
      <c r="GO423" s="5"/>
      <c r="GP423" s="5"/>
      <c r="GQ423" s="5"/>
      <c r="GR423" s="5"/>
      <c r="GS423" s="5"/>
      <c r="GT423" s="5"/>
      <c r="GU423" s="5"/>
      <c r="GV423" s="5"/>
      <c r="GW423" s="5"/>
      <c r="GX423" s="5"/>
      <c r="GY423" s="5"/>
      <c r="GZ423" s="5"/>
      <c r="HA423" s="5"/>
      <c r="HB423" s="5"/>
      <c r="HC423" s="5"/>
      <c r="HD423" s="5"/>
      <c r="HE423" s="5"/>
      <c r="HF423" s="5"/>
      <c r="HG423" s="5"/>
      <c r="HH423" s="5"/>
      <c r="HI423" s="5"/>
      <c r="HJ423" s="5"/>
      <c r="HK423" s="5"/>
      <c r="HL423" s="5"/>
      <c r="HM423" s="5"/>
      <c r="HN423" s="5"/>
      <c r="HO423" s="5"/>
      <c r="HP423" s="5"/>
      <c r="HQ423" s="5"/>
      <c r="HR423" s="5"/>
      <c r="HS423" s="5"/>
      <c r="HT423" s="5"/>
      <c r="HU423" s="5"/>
      <c r="HV423" s="5"/>
    </row>
    <row r="424" spans="21:230" ht="12.75">
      <c r="U424" s="5"/>
      <c r="V424" s="5"/>
      <c r="W424" s="5"/>
      <c r="X424" s="5"/>
      <c r="Y424" s="5"/>
      <c r="AA424" s="5"/>
      <c r="AB424" s="5"/>
      <c r="AC424" s="5"/>
      <c r="AD424" s="5"/>
      <c r="AE424" s="5"/>
      <c r="AY424" s="5"/>
      <c r="AZ424" s="5"/>
      <c r="BA424" s="5"/>
      <c r="BB424" s="5"/>
      <c r="BC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  <c r="GL424" s="5"/>
      <c r="GM424" s="5"/>
      <c r="GN424" s="5"/>
      <c r="GO424" s="5"/>
      <c r="GP424" s="5"/>
      <c r="GQ424" s="5"/>
      <c r="GR424" s="5"/>
      <c r="GS424" s="5"/>
      <c r="GT424" s="5"/>
      <c r="GU424" s="5"/>
      <c r="GV424" s="5"/>
      <c r="GW424" s="5"/>
      <c r="GX424" s="5"/>
      <c r="GY424" s="5"/>
      <c r="GZ424" s="5"/>
      <c r="HA424" s="5"/>
      <c r="HB424" s="5"/>
      <c r="HC424" s="5"/>
      <c r="HD424" s="5"/>
      <c r="HE424" s="5"/>
      <c r="HF424" s="5"/>
      <c r="HG424" s="5"/>
      <c r="HH424" s="5"/>
      <c r="HI424" s="5"/>
      <c r="HJ424" s="5"/>
      <c r="HK424" s="5"/>
      <c r="HL424" s="5"/>
      <c r="HM424" s="5"/>
      <c r="HN424" s="5"/>
      <c r="HO424" s="5"/>
      <c r="HP424" s="5"/>
      <c r="HQ424" s="5"/>
      <c r="HR424" s="5"/>
      <c r="HS424" s="5"/>
      <c r="HT424" s="5"/>
      <c r="HU424" s="5"/>
      <c r="HV424" s="5"/>
    </row>
    <row r="425" spans="21:230" ht="12.75">
      <c r="U425" s="5"/>
      <c r="V425" s="5"/>
      <c r="W425" s="5"/>
      <c r="X425" s="5"/>
      <c r="Y425" s="5"/>
      <c r="AA425" s="5"/>
      <c r="AB425" s="5"/>
      <c r="AC425" s="5"/>
      <c r="AD425" s="5"/>
      <c r="AE425" s="5"/>
      <c r="AY425" s="5"/>
      <c r="AZ425" s="5"/>
      <c r="BA425" s="5"/>
      <c r="BB425" s="5"/>
      <c r="BC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  <c r="GR425" s="5"/>
      <c r="GS425" s="5"/>
      <c r="GT425" s="5"/>
      <c r="GU425" s="5"/>
      <c r="GV425" s="5"/>
      <c r="GW425" s="5"/>
      <c r="GX425" s="5"/>
      <c r="GY425" s="5"/>
      <c r="GZ425" s="5"/>
      <c r="HA425" s="5"/>
      <c r="HB425" s="5"/>
      <c r="HC425" s="5"/>
      <c r="HD425" s="5"/>
      <c r="HE425" s="5"/>
      <c r="HF425" s="5"/>
      <c r="HG425" s="5"/>
      <c r="HH425" s="5"/>
      <c r="HI425" s="5"/>
      <c r="HJ425" s="5"/>
      <c r="HK425" s="5"/>
      <c r="HL425" s="5"/>
      <c r="HM425" s="5"/>
      <c r="HN425" s="5"/>
      <c r="HO425" s="5"/>
      <c r="HP425" s="5"/>
      <c r="HQ425" s="5"/>
      <c r="HR425" s="5"/>
      <c r="HS425" s="5"/>
      <c r="HT425" s="5"/>
      <c r="HU425" s="5"/>
      <c r="HV425" s="5"/>
    </row>
    <row r="426" spans="21:230" ht="12.75">
      <c r="U426" s="5"/>
      <c r="V426" s="5"/>
      <c r="W426" s="5"/>
      <c r="X426" s="5"/>
      <c r="Y426" s="5"/>
      <c r="AA426" s="5"/>
      <c r="AB426" s="5"/>
      <c r="AC426" s="5"/>
      <c r="AD426" s="5"/>
      <c r="AE426" s="5"/>
      <c r="AY426" s="5"/>
      <c r="AZ426" s="5"/>
      <c r="BA426" s="5"/>
      <c r="BB426" s="5"/>
      <c r="BC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  <c r="GL426" s="5"/>
      <c r="GM426" s="5"/>
      <c r="GN426" s="5"/>
      <c r="GO426" s="5"/>
      <c r="GP426" s="5"/>
      <c r="GQ426" s="5"/>
      <c r="GR426" s="5"/>
      <c r="GS426" s="5"/>
      <c r="GT426" s="5"/>
      <c r="GU426" s="5"/>
      <c r="GV426" s="5"/>
      <c r="GW426" s="5"/>
      <c r="GX426" s="5"/>
      <c r="GY426" s="5"/>
      <c r="GZ426" s="5"/>
      <c r="HA426" s="5"/>
      <c r="HB426" s="5"/>
      <c r="HC426" s="5"/>
      <c r="HD426" s="5"/>
      <c r="HE426" s="5"/>
      <c r="HF426" s="5"/>
      <c r="HG426" s="5"/>
      <c r="HH426" s="5"/>
      <c r="HI426" s="5"/>
      <c r="HJ426" s="5"/>
      <c r="HK426" s="5"/>
      <c r="HL426" s="5"/>
      <c r="HM426" s="5"/>
      <c r="HN426" s="5"/>
      <c r="HO426" s="5"/>
      <c r="HP426" s="5"/>
      <c r="HQ426" s="5"/>
      <c r="HR426" s="5"/>
      <c r="HS426" s="5"/>
      <c r="HT426" s="5"/>
      <c r="HU426" s="5"/>
      <c r="HV426" s="5"/>
    </row>
    <row r="427" spans="21:230" ht="12.75">
      <c r="U427" s="5"/>
      <c r="V427" s="5"/>
      <c r="W427" s="5"/>
      <c r="X427" s="5"/>
      <c r="Y427" s="5"/>
      <c r="AA427" s="5"/>
      <c r="AB427" s="5"/>
      <c r="AC427" s="5"/>
      <c r="AD427" s="5"/>
      <c r="AE427" s="5"/>
      <c r="AY427" s="5"/>
      <c r="AZ427" s="5"/>
      <c r="BA427" s="5"/>
      <c r="BB427" s="5"/>
      <c r="BC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  <c r="GL427" s="5"/>
      <c r="GM427" s="5"/>
      <c r="GN427" s="5"/>
      <c r="GO427" s="5"/>
      <c r="GP427" s="5"/>
      <c r="GQ427" s="5"/>
      <c r="GR427" s="5"/>
      <c r="GS427" s="5"/>
      <c r="GT427" s="5"/>
      <c r="GU427" s="5"/>
      <c r="GV427" s="5"/>
      <c r="GW427" s="5"/>
      <c r="GX427" s="5"/>
      <c r="GY427" s="5"/>
      <c r="GZ427" s="5"/>
      <c r="HA427" s="5"/>
      <c r="HB427" s="5"/>
      <c r="HC427" s="5"/>
      <c r="HD427" s="5"/>
      <c r="HE427" s="5"/>
      <c r="HF427" s="5"/>
      <c r="HG427" s="5"/>
      <c r="HH427" s="5"/>
      <c r="HI427" s="5"/>
      <c r="HJ427" s="5"/>
      <c r="HK427" s="5"/>
      <c r="HL427" s="5"/>
      <c r="HM427" s="5"/>
      <c r="HN427" s="5"/>
      <c r="HO427" s="5"/>
      <c r="HP427" s="5"/>
      <c r="HQ427" s="5"/>
      <c r="HR427" s="5"/>
      <c r="HS427" s="5"/>
      <c r="HT427" s="5"/>
      <c r="HU427" s="5"/>
      <c r="HV427" s="5"/>
    </row>
    <row r="428" spans="21:230" ht="12.75">
      <c r="U428" s="5"/>
      <c r="V428" s="5"/>
      <c r="W428" s="5"/>
      <c r="X428" s="5"/>
      <c r="Y428" s="5"/>
      <c r="AA428" s="5"/>
      <c r="AB428" s="5"/>
      <c r="AC428" s="5"/>
      <c r="AD428" s="5"/>
      <c r="AE428" s="5"/>
      <c r="AY428" s="5"/>
      <c r="AZ428" s="5"/>
      <c r="BA428" s="5"/>
      <c r="BB428" s="5"/>
      <c r="BC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  <c r="GL428" s="5"/>
      <c r="GM428" s="5"/>
      <c r="GN428" s="5"/>
      <c r="GO428" s="5"/>
      <c r="GP428" s="5"/>
      <c r="GQ428" s="5"/>
      <c r="GR428" s="5"/>
      <c r="GS428" s="5"/>
      <c r="GT428" s="5"/>
      <c r="GU428" s="5"/>
      <c r="GV428" s="5"/>
      <c r="GW428" s="5"/>
      <c r="GX428" s="5"/>
      <c r="GY428" s="5"/>
      <c r="GZ428" s="5"/>
      <c r="HA428" s="5"/>
      <c r="HB428" s="5"/>
      <c r="HC428" s="5"/>
      <c r="HD428" s="5"/>
      <c r="HE428" s="5"/>
      <c r="HF428" s="5"/>
      <c r="HG428" s="5"/>
      <c r="HH428" s="5"/>
      <c r="HI428" s="5"/>
      <c r="HJ428" s="5"/>
      <c r="HK428" s="5"/>
      <c r="HL428" s="5"/>
      <c r="HM428" s="5"/>
      <c r="HN428" s="5"/>
      <c r="HO428" s="5"/>
      <c r="HP428" s="5"/>
      <c r="HQ428" s="5"/>
      <c r="HR428" s="5"/>
      <c r="HS428" s="5"/>
      <c r="HT428" s="5"/>
      <c r="HU428" s="5"/>
      <c r="HV428" s="5"/>
    </row>
    <row r="429" spans="21:230" ht="12.75">
      <c r="U429" s="5"/>
      <c r="V429" s="5"/>
      <c r="W429" s="5"/>
      <c r="X429" s="5"/>
      <c r="Y429" s="5"/>
      <c r="AA429" s="5"/>
      <c r="AB429" s="5"/>
      <c r="AC429" s="5"/>
      <c r="AD429" s="5"/>
      <c r="AE429" s="5"/>
      <c r="AY429" s="5"/>
      <c r="AZ429" s="5"/>
      <c r="BA429" s="5"/>
      <c r="BB429" s="5"/>
      <c r="BC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  <c r="GL429" s="5"/>
      <c r="GM429" s="5"/>
      <c r="GN429" s="5"/>
      <c r="GO429" s="5"/>
      <c r="GP429" s="5"/>
      <c r="GQ429" s="5"/>
      <c r="GR429" s="5"/>
      <c r="GS429" s="5"/>
      <c r="GT429" s="5"/>
      <c r="GU429" s="5"/>
      <c r="GV429" s="5"/>
      <c r="GW429" s="5"/>
      <c r="GX429" s="5"/>
      <c r="GY429" s="5"/>
      <c r="GZ429" s="5"/>
      <c r="HA429" s="5"/>
      <c r="HB429" s="5"/>
      <c r="HC429" s="5"/>
      <c r="HD429" s="5"/>
      <c r="HE429" s="5"/>
      <c r="HF429" s="5"/>
      <c r="HG429" s="5"/>
      <c r="HH429" s="5"/>
      <c r="HI429" s="5"/>
      <c r="HJ429" s="5"/>
      <c r="HK429" s="5"/>
      <c r="HL429" s="5"/>
      <c r="HM429" s="5"/>
      <c r="HN429" s="5"/>
      <c r="HO429" s="5"/>
      <c r="HP429" s="5"/>
      <c r="HQ429" s="5"/>
      <c r="HR429" s="5"/>
      <c r="HS429" s="5"/>
      <c r="HT429" s="5"/>
      <c r="HU429" s="5"/>
      <c r="HV429" s="5"/>
    </row>
    <row r="430" spans="21:230" ht="12.75">
      <c r="U430" s="5"/>
      <c r="V430" s="5"/>
      <c r="W430" s="5"/>
      <c r="X430" s="5"/>
      <c r="Y430" s="5"/>
      <c r="AA430" s="5"/>
      <c r="AB430" s="5"/>
      <c r="AC430" s="5"/>
      <c r="AD430" s="5"/>
      <c r="AE430" s="5"/>
      <c r="AY430" s="5"/>
      <c r="AZ430" s="5"/>
      <c r="BA430" s="5"/>
      <c r="BB430" s="5"/>
      <c r="BC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  <c r="GL430" s="5"/>
      <c r="GM430" s="5"/>
      <c r="GN430" s="5"/>
      <c r="GO430" s="5"/>
      <c r="GP430" s="5"/>
      <c r="GQ430" s="5"/>
      <c r="GR430" s="5"/>
      <c r="GS430" s="5"/>
      <c r="GT430" s="5"/>
      <c r="GU430" s="5"/>
      <c r="GV430" s="5"/>
      <c r="GW430" s="5"/>
      <c r="GX430" s="5"/>
      <c r="GY430" s="5"/>
      <c r="GZ430" s="5"/>
      <c r="HA430" s="5"/>
      <c r="HB430" s="5"/>
      <c r="HC430" s="5"/>
      <c r="HD430" s="5"/>
      <c r="HE430" s="5"/>
      <c r="HF430" s="5"/>
      <c r="HG430" s="5"/>
      <c r="HH430" s="5"/>
      <c r="HI430" s="5"/>
      <c r="HJ430" s="5"/>
      <c r="HK430" s="5"/>
      <c r="HL430" s="5"/>
      <c r="HM430" s="5"/>
      <c r="HN430" s="5"/>
      <c r="HO430" s="5"/>
      <c r="HP430" s="5"/>
      <c r="HQ430" s="5"/>
      <c r="HR430" s="5"/>
      <c r="HS430" s="5"/>
      <c r="HT430" s="5"/>
      <c r="HU430" s="5"/>
      <c r="HV430" s="5"/>
    </row>
    <row r="431" spans="21:230" ht="12.75">
      <c r="U431" s="5"/>
      <c r="V431" s="5"/>
      <c r="W431" s="5"/>
      <c r="X431" s="5"/>
      <c r="Y431" s="5"/>
      <c r="AA431" s="5"/>
      <c r="AB431" s="5"/>
      <c r="AC431" s="5"/>
      <c r="AD431" s="5"/>
      <c r="AE431" s="5"/>
      <c r="AY431" s="5"/>
      <c r="AZ431" s="5"/>
      <c r="BA431" s="5"/>
      <c r="BB431" s="5"/>
      <c r="BC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  <c r="GL431" s="5"/>
      <c r="GM431" s="5"/>
      <c r="GN431" s="5"/>
      <c r="GO431" s="5"/>
      <c r="GP431" s="5"/>
      <c r="GQ431" s="5"/>
      <c r="GR431" s="5"/>
      <c r="GS431" s="5"/>
      <c r="GT431" s="5"/>
      <c r="GU431" s="5"/>
      <c r="GV431" s="5"/>
      <c r="GW431" s="5"/>
      <c r="GX431" s="5"/>
      <c r="GY431" s="5"/>
      <c r="GZ431" s="5"/>
      <c r="HA431" s="5"/>
      <c r="HB431" s="5"/>
      <c r="HC431" s="5"/>
      <c r="HD431" s="5"/>
      <c r="HE431" s="5"/>
      <c r="HF431" s="5"/>
      <c r="HG431" s="5"/>
      <c r="HH431" s="5"/>
      <c r="HI431" s="5"/>
      <c r="HJ431" s="5"/>
      <c r="HK431" s="5"/>
      <c r="HL431" s="5"/>
      <c r="HM431" s="5"/>
      <c r="HN431" s="5"/>
      <c r="HO431" s="5"/>
      <c r="HP431" s="5"/>
      <c r="HQ431" s="5"/>
      <c r="HR431" s="5"/>
      <c r="HS431" s="5"/>
      <c r="HT431" s="5"/>
      <c r="HU431" s="5"/>
      <c r="HV431" s="5"/>
    </row>
    <row r="432" spans="21:230" ht="12.75">
      <c r="U432" s="5"/>
      <c r="V432" s="5"/>
      <c r="W432" s="5"/>
      <c r="X432" s="5"/>
      <c r="Y432" s="5"/>
      <c r="AA432" s="5"/>
      <c r="AB432" s="5"/>
      <c r="AC432" s="5"/>
      <c r="AD432" s="5"/>
      <c r="AE432" s="5"/>
      <c r="AY432" s="5"/>
      <c r="AZ432" s="5"/>
      <c r="BA432" s="5"/>
      <c r="BB432" s="5"/>
      <c r="BC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  <c r="GL432" s="5"/>
      <c r="GM432" s="5"/>
      <c r="GN432" s="5"/>
      <c r="GO432" s="5"/>
      <c r="GP432" s="5"/>
      <c r="GQ432" s="5"/>
      <c r="GR432" s="5"/>
      <c r="GS432" s="5"/>
      <c r="GT432" s="5"/>
      <c r="GU432" s="5"/>
      <c r="GV432" s="5"/>
      <c r="GW432" s="5"/>
      <c r="GX432" s="5"/>
      <c r="GY432" s="5"/>
      <c r="GZ432" s="5"/>
      <c r="HA432" s="5"/>
      <c r="HB432" s="5"/>
      <c r="HC432" s="5"/>
      <c r="HD432" s="5"/>
      <c r="HE432" s="5"/>
      <c r="HF432" s="5"/>
      <c r="HG432" s="5"/>
      <c r="HH432" s="5"/>
      <c r="HI432" s="5"/>
      <c r="HJ432" s="5"/>
      <c r="HK432" s="5"/>
      <c r="HL432" s="5"/>
      <c r="HM432" s="5"/>
      <c r="HN432" s="5"/>
      <c r="HO432" s="5"/>
      <c r="HP432" s="5"/>
      <c r="HQ432" s="5"/>
      <c r="HR432" s="5"/>
      <c r="HS432" s="5"/>
      <c r="HT432" s="5"/>
      <c r="HU432" s="5"/>
      <c r="HV432" s="5"/>
    </row>
    <row r="433" spans="21:230" ht="12.75">
      <c r="U433" s="5"/>
      <c r="V433" s="5"/>
      <c r="W433" s="5"/>
      <c r="X433" s="5"/>
      <c r="Y433" s="5"/>
      <c r="AA433" s="5"/>
      <c r="AB433" s="5"/>
      <c r="AC433" s="5"/>
      <c r="AD433" s="5"/>
      <c r="AE433" s="5"/>
      <c r="AY433" s="5"/>
      <c r="AZ433" s="5"/>
      <c r="BA433" s="5"/>
      <c r="BB433" s="5"/>
      <c r="BC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  <c r="GL433" s="5"/>
      <c r="GM433" s="5"/>
      <c r="GN433" s="5"/>
      <c r="GO433" s="5"/>
      <c r="GP433" s="5"/>
      <c r="GQ433" s="5"/>
      <c r="GR433" s="5"/>
      <c r="GS433" s="5"/>
      <c r="GT433" s="5"/>
      <c r="GU433" s="5"/>
      <c r="GV433" s="5"/>
      <c r="GW433" s="5"/>
      <c r="GX433" s="5"/>
      <c r="GY433" s="5"/>
      <c r="GZ433" s="5"/>
      <c r="HA433" s="5"/>
      <c r="HB433" s="5"/>
      <c r="HC433" s="5"/>
      <c r="HD433" s="5"/>
      <c r="HE433" s="5"/>
      <c r="HF433" s="5"/>
      <c r="HG433" s="5"/>
      <c r="HH433" s="5"/>
      <c r="HI433" s="5"/>
      <c r="HJ433" s="5"/>
      <c r="HK433" s="5"/>
      <c r="HL433" s="5"/>
      <c r="HM433" s="5"/>
      <c r="HN433" s="5"/>
      <c r="HO433" s="5"/>
      <c r="HP433" s="5"/>
      <c r="HQ433" s="5"/>
      <c r="HR433" s="5"/>
      <c r="HS433" s="5"/>
      <c r="HT433" s="5"/>
      <c r="HU433" s="5"/>
      <c r="HV433" s="5"/>
    </row>
    <row r="434" spans="21:230" ht="12.75">
      <c r="U434" s="5"/>
      <c r="V434" s="5"/>
      <c r="W434" s="5"/>
      <c r="X434" s="5"/>
      <c r="Y434" s="5"/>
      <c r="AA434" s="5"/>
      <c r="AB434" s="5"/>
      <c r="AC434" s="5"/>
      <c r="AD434" s="5"/>
      <c r="AE434" s="5"/>
      <c r="AY434" s="5"/>
      <c r="AZ434" s="5"/>
      <c r="BA434" s="5"/>
      <c r="BB434" s="5"/>
      <c r="BC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  <c r="GL434" s="5"/>
      <c r="GM434" s="5"/>
      <c r="GN434" s="5"/>
      <c r="GO434" s="5"/>
      <c r="GP434" s="5"/>
      <c r="GQ434" s="5"/>
      <c r="GR434" s="5"/>
      <c r="GS434" s="5"/>
      <c r="GT434" s="5"/>
      <c r="GU434" s="5"/>
      <c r="GV434" s="5"/>
      <c r="GW434" s="5"/>
      <c r="GX434" s="5"/>
      <c r="GY434" s="5"/>
      <c r="GZ434" s="5"/>
      <c r="HA434" s="5"/>
      <c r="HB434" s="5"/>
      <c r="HC434" s="5"/>
      <c r="HD434" s="5"/>
      <c r="HE434" s="5"/>
      <c r="HF434" s="5"/>
      <c r="HG434" s="5"/>
      <c r="HH434" s="5"/>
      <c r="HI434" s="5"/>
      <c r="HJ434" s="5"/>
      <c r="HK434" s="5"/>
      <c r="HL434" s="5"/>
      <c r="HM434" s="5"/>
      <c r="HN434" s="5"/>
      <c r="HO434" s="5"/>
      <c r="HP434" s="5"/>
      <c r="HQ434" s="5"/>
      <c r="HR434" s="5"/>
      <c r="HS434" s="5"/>
      <c r="HT434" s="5"/>
      <c r="HU434" s="5"/>
      <c r="HV434" s="5"/>
    </row>
    <row r="435" spans="21:230" ht="12.75">
      <c r="U435" s="5"/>
      <c r="V435" s="5"/>
      <c r="W435" s="5"/>
      <c r="X435" s="5"/>
      <c r="Y435" s="5"/>
      <c r="AA435" s="5"/>
      <c r="AB435" s="5"/>
      <c r="AC435" s="5"/>
      <c r="AD435" s="5"/>
      <c r="AE435" s="5"/>
      <c r="AY435" s="5"/>
      <c r="AZ435" s="5"/>
      <c r="BA435" s="5"/>
      <c r="BB435" s="5"/>
      <c r="BC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  <c r="GR435" s="5"/>
      <c r="GS435" s="5"/>
      <c r="GT435" s="5"/>
      <c r="GU435" s="5"/>
      <c r="GV435" s="5"/>
      <c r="GW435" s="5"/>
      <c r="GX435" s="5"/>
      <c r="GY435" s="5"/>
      <c r="GZ435" s="5"/>
      <c r="HA435" s="5"/>
      <c r="HB435" s="5"/>
      <c r="HC435" s="5"/>
      <c r="HD435" s="5"/>
      <c r="HE435" s="5"/>
      <c r="HF435" s="5"/>
      <c r="HG435" s="5"/>
      <c r="HH435" s="5"/>
      <c r="HI435" s="5"/>
      <c r="HJ435" s="5"/>
      <c r="HK435" s="5"/>
      <c r="HL435" s="5"/>
      <c r="HM435" s="5"/>
      <c r="HN435" s="5"/>
      <c r="HO435" s="5"/>
      <c r="HP435" s="5"/>
      <c r="HQ435" s="5"/>
      <c r="HR435" s="5"/>
      <c r="HS435" s="5"/>
      <c r="HT435" s="5"/>
      <c r="HU435" s="5"/>
      <c r="HV435" s="5"/>
    </row>
    <row r="436" spans="21:230" ht="12.75">
      <c r="U436" s="5"/>
      <c r="V436" s="5"/>
      <c r="W436" s="5"/>
      <c r="X436" s="5"/>
      <c r="Y436" s="5"/>
      <c r="AA436" s="5"/>
      <c r="AB436" s="5"/>
      <c r="AC436" s="5"/>
      <c r="AD436" s="5"/>
      <c r="AE436" s="5"/>
      <c r="AY436" s="5"/>
      <c r="AZ436" s="5"/>
      <c r="BA436" s="5"/>
      <c r="BB436" s="5"/>
      <c r="BC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  <c r="GR436" s="5"/>
      <c r="GS436" s="5"/>
      <c r="GT436" s="5"/>
      <c r="GU436" s="5"/>
      <c r="GV436" s="5"/>
      <c r="GW436" s="5"/>
      <c r="GX436" s="5"/>
      <c r="GY436" s="5"/>
      <c r="GZ436" s="5"/>
      <c r="HA436" s="5"/>
      <c r="HB436" s="5"/>
      <c r="HC436" s="5"/>
      <c r="HD436" s="5"/>
      <c r="HE436" s="5"/>
      <c r="HF436" s="5"/>
      <c r="HG436" s="5"/>
      <c r="HH436" s="5"/>
      <c r="HI436" s="5"/>
      <c r="HJ436" s="5"/>
      <c r="HK436" s="5"/>
      <c r="HL436" s="5"/>
      <c r="HM436" s="5"/>
      <c r="HN436" s="5"/>
      <c r="HO436" s="5"/>
      <c r="HP436" s="5"/>
      <c r="HQ436" s="5"/>
      <c r="HR436" s="5"/>
      <c r="HS436" s="5"/>
      <c r="HT436" s="5"/>
      <c r="HU436" s="5"/>
      <c r="HV436" s="5"/>
    </row>
    <row r="437" spans="21:230" ht="12.75">
      <c r="U437" s="5"/>
      <c r="V437" s="5"/>
      <c r="W437" s="5"/>
      <c r="X437" s="5"/>
      <c r="Y437" s="5"/>
      <c r="AA437" s="5"/>
      <c r="AB437" s="5"/>
      <c r="AC437" s="5"/>
      <c r="AD437" s="5"/>
      <c r="AE437" s="5"/>
      <c r="AY437" s="5"/>
      <c r="AZ437" s="5"/>
      <c r="BA437" s="5"/>
      <c r="BB437" s="5"/>
      <c r="BC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  <c r="GL437" s="5"/>
      <c r="GM437" s="5"/>
      <c r="GN437" s="5"/>
      <c r="GO437" s="5"/>
      <c r="GP437" s="5"/>
      <c r="GQ437" s="5"/>
      <c r="GR437" s="5"/>
      <c r="GS437" s="5"/>
      <c r="GT437" s="5"/>
      <c r="GU437" s="5"/>
      <c r="GV437" s="5"/>
      <c r="GW437" s="5"/>
      <c r="GX437" s="5"/>
      <c r="GY437" s="5"/>
      <c r="GZ437" s="5"/>
      <c r="HA437" s="5"/>
      <c r="HB437" s="5"/>
      <c r="HC437" s="5"/>
      <c r="HD437" s="5"/>
      <c r="HE437" s="5"/>
      <c r="HF437" s="5"/>
      <c r="HG437" s="5"/>
      <c r="HH437" s="5"/>
      <c r="HI437" s="5"/>
      <c r="HJ437" s="5"/>
      <c r="HK437" s="5"/>
      <c r="HL437" s="5"/>
      <c r="HM437" s="5"/>
      <c r="HN437" s="5"/>
      <c r="HO437" s="5"/>
      <c r="HP437" s="5"/>
      <c r="HQ437" s="5"/>
      <c r="HR437" s="5"/>
      <c r="HS437" s="5"/>
      <c r="HT437" s="5"/>
      <c r="HU437" s="5"/>
      <c r="HV437" s="5"/>
    </row>
    <row r="438" spans="21:230" ht="12.75">
      <c r="U438" s="5"/>
      <c r="V438" s="5"/>
      <c r="W438" s="5"/>
      <c r="X438" s="5"/>
      <c r="Y438" s="5"/>
      <c r="AA438" s="5"/>
      <c r="AB438" s="5"/>
      <c r="AC438" s="5"/>
      <c r="AD438" s="5"/>
      <c r="AE438" s="5"/>
      <c r="AY438" s="5"/>
      <c r="AZ438" s="5"/>
      <c r="BA438" s="5"/>
      <c r="BB438" s="5"/>
      <c r="BC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  <c r="GL438" s="5"/>
      <c r="GM438" s="5"/>
      <c r="GN438" s="5"/>
      <c r="GO438" s="5"/>
      <c r="GP438" s="5"/>
      <c r="GQ438" s="5"/>
      <c r="GR438" s="5"/>
      <c r="GS438" s="5"/>
      <c r="GT438" s="5"/>
      <c r="GU438" s="5"/>
      <c r="GV438" s="5"/>
      <c r="GW438" s="5"/>
      <c r="GX438" s="5"/>
      <c r="GY438" s="5"/>
      <c r="GZ438" s="5"/>
      <c r="HA438" s="5"/>
      <c r="HB438" s="5"/>
      <c r="HC438" s="5"/>
      <c r="HD438" s="5"/>
      <c r="HE438" s="5"/>
      <c r="HF438" s="5"/>
      <c r="HG438" s="5"/>
      <c r="HH438" s="5"/>
      <c r="HI438" s="5"/>
      <c r="HJ438" s="5"/>
      <c r="HK438" s="5"/>
      <c r="HL438" s="5"/>
      <c r="HM438" s="5"/>
      <c r="HN438" s="5"/>
      <c r="HO438" s="5"/>
      <c r="HP438" s="5"/>
      <c r="HQ438" s="5"/>
      <c r="HR438" s="5"/>
      <c r="HS438" s="5"/>
      <c r="HT438" s="5"/>
      <c r="HU438" s="5"/>
      <c r="HV438" s="5"/>
    </row>
    <row r="439" spans="21:230" ht="12.75">
      <c r="U439" s="5"/>
      <c r="V439" s="5"/>
      <c r="W439" s="5"/>
      <c r="X439" s="5"/>
      <c r="Y439" s="5"/>
      <c r="AA439" s="5"/>
      <c r="AB439" s="5"/>
      <c r="AC439" s="5"/>
      <c r="AD439" s="5"/>
      <c r="AE439" s="5"/>
      <c r="AY439" s="5"/>
      <c r="AZ439" s="5"/>
      <c r="BA439" s="5"/>
      <c r="BB439" s="5"/>
      <c r="BC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  <c r="GR439" s="5"/>
      <c r="GS439" s="5"/>
      <c r="GT439" s="5"/>
      <c r="GU439" s="5"/>
      <c r="GV439" s="5"/>
      <c r="GW439" s="5"/>
      <c r="GX439" s="5"/>
      <c r="GY439" s="5"/>
      <c r="GZ439" s="5"/>
      <c r="HA439" s="5"/>
      <c r="HB439" s="5"/>
      <c r="HC439" s="5"/>
      <c r="HD439" s="5"/>
      <c r="HE439" s="5"/>
      <c r="HF439" s="5"/>
      <c r="HG439" s="5"/>
      <c r="HH439" s="5"/>
      <c r="HI439" s="5"/>
      <c r="HJ439" s="5"/>
      <c r="HK439" s="5"/>
      <c r="HL439" s="5"/>
      <c r="HM439" s="5"/>
      <c r="HN439" s="5"/>
      <c r="HO439" s="5"/>
      <c r="HP439" s="5"/>
      <c r="HQ439" s="5"/>
      <c r="HR439" s="5"/>
      <c r="HS439" s="5"/>
      <c r="HT439" s="5"/>
      <c r="HU439" s="5"/>
      <c r="HV439" s="5"/>
    </row>
    <row r="440" spans="21:230" ht="12.75">
      <c r="U440" s="5"/>
      <c r="V440" s="5"/>
      <c r="W440" s="5"/>
      <c r="X440" s="5"/>
      <c r="Y440" s="5"/>
      <c r="AA440" s="5"/>
      <c r="AB440" s="5"/>
      <c r="AC440" s="5"/>
      <c r="AD440" s="5"/>
      <c r="AE440" s="5"/>
      <c r="AY440" s="5"/>
      <c r="AZ440" s="5"/>
      <c r="BA440" s="5"/>
      <c r="BB440" s="5"/>
      <c r="BC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  <c r="GR440" s="5"/>
      <c r="GS440" s="5"/>
      <c r="GT440" s="5"/>
      <c r="GU440" s="5"/>
      <c r="GV440" s="5"/>
      <c r="GW440" s="5"/>
      <c r="GX440" s="5"/>
      <c r="GY440" s="5"/>
      <c r="GZ440" s="5"/>
      <c r="HA440" s="5"/>
      <c r="HB440" s="5"/>
      <c r="HC440" s="5"/>
      <c r="HD440" s="5"/>
      <c r="HE440" s="5"/>
      <c r="HF440" s="5"/>
      <c r="HG440" s="5"/>
      <c r="HH440" s="5"/>
      <c r="HI440" s="5"/>
      <c r="HJ440" s="5"/>
      <c r="HK440" s="5"/>
      <c r="HL440" s="5"/>
      <c r="HM440" s="5"/>
      <c r="HN440" s="5"/>
      <c r="HO440" s="5"/>
      <c r="HP440" s="5"/>
      <c r="HQ440" s="5"/>
      <c r="HR440" s="5"/>
      <c r="HS440" s="5"/>
      <c r="HT440" s="5"/>
      <c r="HU440" s="5"/>
      <c r="HV440" s="5"/>
    </row>
    <row r="441" spans="21:230" ht="12.75">
      <c r="U441" s="5"/>
      <c r="V441" s="5"/>
      <c r="W441" s="5"/>
      <c r="X441" s="5"/>
      <c r="Y441" s="5"/>
      <c r="AA441" s="5"/>
      <c r="AB441" s="5"/>
      <c r="AC441" s="5"/>
      <c r="AD441" s="5"/>
      <c r="AE441" s="5"/>
      <c r="AY441" s="5"/>
      <c r="AZ441" s="5"/>
      <c r="BA441" s="5"/>
      <c r="BB441" s="5"/>
      <c r="BC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  <c r="GR441" s="5"/>
      <c r="GS441" s="5"/>
      <c r="GT441" s="5"/>
      <c r="GU441" s="5"/>
      <c r="GV441" s="5"/>
      <c r="GW441" s="5"/>
      <c r="GX441" s="5"/>
      <c r="GY441" s="5"/>
      <c r="GZ441" s="5"/>
      <c r="HA441" s="5"/>
      <c r="HB441" s="5"/>
      <c r="HC441" s="5"/>
      <c r="HD441" s="5"/>
      <c r="HE441" s="5"/>
      <c r="HF441" s="5"/>
      <c r="HG441" s="5"/>
      <c r="HH441" s="5"/>
      <c r="HI441" s="5"/>
      <c r="HJ441" s="5"/>
      <c r="HK441" s="5"/>
      <c r="HL441" s="5"/>
      <c r="HM441" s="5"/>
      <c r="HN441" s="5"/>
      <c r="HO441" s="5"/>
      <c r="HP441" s="5"/>
      <c r="HQ441" s="5"/>
      <c r="HR441" s="5"/>
      <c r="HS441" s="5"/>
      <c r="HT441" s="5"/>
      <c r="HU441" s="5"/>
      <c r="HV441" s="5"/>
    </row>
    <row r="442" spans="21:230" ht="12.75">
      <c r="U442" s="5"/>
      <c r="V442" s="5"/>
      <c r="W442" s="5"/>
      <c r="X442" s="5"/>
      <c r="Y442" s="5"/>
      <c r="AA442" s="5"/>
      <c r="AB442" s="5"/>
      <c r="AC442" s="5"/>
      <c r="AD442" s="5"/>
      <c r="AE442" s="5"/>
      <c r="AY442" s="5"/>
      <c r="AZ442" s="5"/>
      <c r="BA442" s="5"/>
      <c r="BB442" s="5"/>
      <c r="BC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  <c r="GR442" s="5"/>
      <c r="GS442" s="5"/>
      <c r="GT442" s="5"/>
      <c r="GU442" s="5"/>
      <c r="GV442" s="5"/>
      <c r="GW442" s="5"/>
      <c r="GX442" s="5"/>
      <c r="GY442" s="5"/>
      <c r="GZ442" s="5"/>
      <c r="HA442" s="5"/>
      <c r="HB442" s="5"/>
      <c r="HC442" s="5"/>
      <c r="HD442" s="5"/>
      <c r="HE442" s="5"/>
      <c r="HF442" s="5"/>
      <c r="HG442" s="5"/>
      <c r="HH442" s="5"/>
      <c r="HI442" s="5"/>
      <c r="HJ442" s="5"/>
      <c r="HK442" s="5"/>
      <c r="HL442" s="5"/>
      <c r="HM442" s="5"/>
      <c r="HN442" s="5"/>
      <c r="HO442" s="5"/>
      <c r="HP442" s="5"/>
      <c r="HQ442" s="5"/>
      <c r="HR442" s="5"/>
      <c r="HS442" s="5"/>
      <c r="HT442" s="5"/>
      <c r="HU442" s="5"/>
      <c r="HV442" s="5"/>
    </row>
    <row r="443" spans="21:230" ht="12.75">
      <c r="U443" s="5"/>
      <c r="V443" s="5"/>
      <c r="W443" s="5"/>
      <c r="X443" s="5"/>
      <c r="Y443" s="5"/>
      <c r="AA443" s="5"/>
      <c r="AB443" s="5"/>
      <c r="AC443" s="5"/>
      <c r="AD443" s="5"/>
      <c r="AE443" s="5"/>
      <c r="AY443" s="5"/>
      <c r="AZ443" s="5"/>
      <c r="BA443" s="5"/>
      <c r="BB443" s="5"/>
      <c r="BC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  <c r="GL443" s="5"/>
      <c r="GM443" s="5"/>
      <c r="GN443" s="5"/>
      <c r="GO443" s="5"/>
      <c r="GP443" s="5"/>
      <c r="GQ443" s="5"/>
      <c r="GR443" s="5"/>
      <c r="GS443" s="5"/>
      <c r="GT443" s="5"/>
      <c r="GU443" s="5"/>
      <c r="GV443" s="5"/>
      <c r="GW443" s="5"/>
      <c r="GX443" s="5"/>
      <c r="GY443" s="5"/>
      <c r="GZ443" s="5"/>
      <c r="HA443" s="5"/>
      <c r="HB443" s="5"/>
      <c r="HC443" s="5"/>
      <c r="HD443" s="5"/>
      <c r="HE443" s="5"/>
      <c r="HF443" s="5"/>
      <c r="HG443" s="5"/>
      <c r="HH443" s="5"/>
      <c r="HI443" s="5"/>
      <c r="HJ443" s="5"/>
      <c r="HK443" s="5"/>
      <c r="HL443" s="5"/>
      <c r="HM443" s="5"/>
      <c r="HN443" s="5"/>
      <c r="HO443" s="5"/>
      <c r="HP443" s="5"/>
      <c r="HQ443" s="5"/>
      <c r="HR443" s="5"/>
      <c r="HS443" s="5"/>
      <c r="HT443" s="5"/>
      <c r="HU443" s="5"/>
      <c r="HV443" s="5"/>
    </row>
    <row r="444" spans="21:230" ht="12.75">
      <c r="U444" s="5"/>
      <c r="V444" s="5"/>
      <c r="W444" s="5"/>
      <c r="X444" s="5"/>
      <c r="Y444" s="5"/>
      <c r="AA444" s="5"/>
      <c r="AB444" s="5"/>
      <c r="AC444" s="5"/>
      <c r="AD444" s="5"/>
      <c r="AE444" s="5"/>
      <c r="AY444" s="5"/>
      <c r="AZ444" s="5"/>
      <c r="BA444" s="5"/>
      <c r="BB444" s="5"/>
      <c r="BC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  <c r="GL444" s="5"/>
      <c r="GM444" s="5"/>
      <c r="GN444" s="5"/>
      <c r="GO444" s="5"/>
      <c r="GP444" s="5"/>
      <c r="GQ444" s="5"/>
      <c r="GR444" s="5"/>
      <c r="GS444" s="5"/>
      <c r="GT444" s="5"/>
      <c r="GU444" s="5"/>
      <c r="GV444" s="5"/>
      <c r="GW444" s="5"/>
      <c r="GX444" s="5"/>
      <c r="GY444" s="5"/>
      <c r="GZ444" s="5"/>
      <c r="HA444" s="5"/>
      <c r="HB444" s="5"/>
      <c r="HC444" s="5"/>
      <c r="HD444" s="5"/>
      <c r="HE444" s="5"/>
      <c r="HF444" s="5"/>
      <c r="HG444" s="5"/>
      <c r="HH444" s="5"/>
      <c r="HI444" s="5"/>
      <c r="HJ444" s="5"/>
      <c r="HK444" s="5"/>
      <c r="HL444" s="5"/>
      <c r="HM444" s="5"/>
      <c r="HN444" s="5"/>
      <c r="HO444" s="5"/>
      <c r="HP444" s="5"/>
      <c r="HQ444" s="5"/>
      <c r="HR444" s="5"/>
      <c r="HS444" s="5"/>
      <c r="HT444" s="5"/>
      <c r="HU444" s="5"/>
      <c r="HV444" s="5"/>
    </row>
    <row r="445" spans="21:230" ht="12.75">
      <c r="U445" s="5"/>
      <c r="V445" s="5"/>
      <c r="W445" s="5"/>
      <c r="X445" s="5"/>
      <c r="Y445" s="5"/>
      <c r="AA445" s="5"/>
      <c r="AB445" s="5"/>
      <c r="AC445" s="5"/>
      <c r="AD445" s="5"/>
      <c r="AE445" s="5"/>
      <c r="AY445" s="5"/>
      <c r="AZ445" s="5"/>
      <c r="BA445" s="5"/>
      <c r="BB445" s="5"/>
      <c r="BC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  <c r="GL445" s="5"/>
      <c r="GM445" s="5"/>
      <c r="GN445" s="5"/>
      <c r="GO445" s="5"/>
      <c r="GP445" s="5"/>
      <c r="GQ445" s="5"/>
      <c r="GR445" s="5"/>
      <c r="GS445" s="5"/>
      <c r="GT445" s="5"/>
      <c r="GU445" s="5"/>
      <c r="GV445" s="5"/>
      <c r="GW445" s="5"/>
      <c r="GX445" s="5"/>
      <c r="GY445" s="5"/>
      <c r="GZ445" s="5"/>
      <c r="HA445" s="5"/>
      <c r="HB445" s="5"/>
      <c r="HC445" s="5"/>
      <c r="HD445" s="5"/>
      <c r="HE445" s="5"/>
      <c r="HF445" s="5"/>
      <c r="HG445" s="5"/>
      <c r="HH445" s="5"/>
      <c r="HI445" s="5"/>
      <c r="HJ445" s="5"/>
      <c r="HK445" s="5"/>
      <c r="HL445" s="5"/>
      <c r="HM445" s="5"/>
      <c r="HN445" s="5"/>
      <c r="HO445" s="5"/>
      <c r="HP445" s="5"/>
      <c r="HQ445" s="5"/>
      <c r="HR445" s="5"/>
      <c r="HS445" s="5"/>
      <c r="HT445" s="5"/>
      <c r="HU445" s="5"/>
      <c r="HV445" s="5"/>
    </row>
    <row r="446" spans="21:230" ht="12.75">
      <c r="U446" s="5"/>
      <c r="V446" s="5"/>
      <c r="W446" s="5"/>
      <c r="X446" s="5"/>
      <c r="Y446" s="5"/>
      <c r="AA446" s="5"/>
      <c r="AB446" s="5"/>
      <c r="AC446" s="5"/>
      <c r="AD446" s="5"/>
      <c r="AE446" s="5"/>
      <c r="AY446" s="5"/>
      <c r="AZ446" s="5"/>
      <c r="BA446" s="5"/>
      <c r="BB446" s="5"/>
      <c r="BC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  <c r="GL446" s="5"/>
      <c r="GM446" s="5"/>
      <c r="GN446" s="5"/>
      <c r="GO446" s="5"/>
      <c r="GP446" s="5"/>
      <c r="GQ446" s="5"/>
      <c r="GR446" s="5"/>
      <c r="GS446" s="5"/>
      <c r="GT446" s="5"/>
      <c r="GU446" s="5"/>
      <c r="GV446" s="5"/>
      <c r="GW446" s="5"/>
      <c r="GX446" s="5"/>
      <c r="GY446" s="5"/>
      <c r="GZ446" s="5"/>
      <c r="HA446" s="5"/>
      <c r="HB446" s="5"/>
      <c r="HC446" s="5"/>
      <c r="HD446" s="5"/>
      <c r="HE446" s="5"/>
      <c r="HF446" s="5"/>
      <c r="HG446" s="5"/>
      <c r="HH446" s="5"/>
      <c r="HI446" s="5"/>
      <c r="HJ446" s="5"/>
      <c r="HK446" s="5"/>
      <c r="HL446" s="5"/>
      <c r="HM446" s="5"/>
      <c r="HN446" s="5"/>
      <c r="HO446" s="5"/>
      <c r="HP446" s="5"/>
      <c r="HQ446" s="5"/>
      <c r="HR446" s="5"/>
      <c r="HS446" s="5"/>
      <c r="HT446" s="5"/>
      <c r="HU446" s="5"/>
      <c r="HV446" s="5"/>
    </row>
    <row r="447" spans="21:230" ht="12.75">
      <c r="U447" s="5"/>
      <c r="V447" s="5"/>
      <c r="W447" s="5"/>
      <c r="X447" s="5"/>
      <c r="Y447" s="5"/>
      <c r="AA447" s="5"/>
      <c r="AB447" s="5"/>
      <c r="AC447" s="5"/>
      <c r="AD447" s="5"/>
      <c r="AE447" s="5"/>
      <c r="AY447" s="5"/>
      <c r="AZ447" s="5"/>
      <c r="BA447" s="5"/>
      <c r="BB447" s="5"/>
      <c r="BC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  <c r="GB447" s="5"/>
      <c r="GC447" s="5"/>
      <c r="GD447" s="5"/>
      <c r="GE447" s="5"/>
      <c r="GF447" s="5"/>
      <c r="GG447" s="5"/>
      <c r="GH447" s="5"/>
      <c r="GI447" s="5"/>
      <c r="GJ447" s="5"/>
      <c r="GK447" s="5"/>
      <c r="GL447" s="5"/>
      <c r="GM447" s="5"/>
      <c r="GN447" s="5"/>
      <c r="GO447" s="5"/>
      <c r="GP447" s="5"/>
      <c r="GQ447" s="5"/>
      <c r="GR447" s="5"/>
      <c r="GS447" s="5"/>
      <c r="GT447" s="5"/>
      <c r="GU447" s="5"/>
      <c r="GV447" s="5"/>
      <c r="GW447" s="5"/>
      <c r="GX447" s="5"/>
      <c r="GY447" s="5"/>
      <c r="GZ447" s="5"/>
      <c r="HA447" s="5"/>
      <c r="HB447" s="5"/>
      <c r="HC447" s="5"/>
      <c r="HD447" s="5"/>
      <c r="HE447" s="5"/>
      <c r="HF447" s="5"/>
      <c r="HG447" s="5"/>
      <c r="HH447" s="5"/>
      <c r="HI447" s="5"/>
      <c r="HJ447" s="5"/>
      <c r="HK447" s="5"/>
      <c r="HL447" s="5"/>
      <c r="HM447" s="5"/>
      <c r="HN447" s="5"/>
      <c r="HO447" s="5"/>
      <c r="HP447" s="5"/>
      <c r="HQ447" s="5"/>
      <c r="HR447" s="5"/>
      <c r="HS447" s="5"/>
      <c r="HT447" s="5"/>
      <c r="HU447" s="5"/>
      <c r="HV447" s="5"/>
    </row>
    <row r="448" spans="21:230" ht="12.75">
      <c r="U448" s="5"/>
      <c r="V448" s="5"/>
      <c r="W448" s="5"/>
      <c r="X448" s="5"/>
      <c r="Y448" s="5"/>
      <c r="AA448" s="5"/>
      <c r="AB448" s="5"/>
      <c r="AC448" s="5"/>
      <c r="AD448" s="5"/>
      <c r="AE448" s="5"/>
      <c r="AY448" s="5"/>
      <c r="AZ448" s="5"/>
      <c r="BA448" s="5"/>
      <c r="BB448" s="5"/>
      <c r="BC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  <c r="GL448" s="5"/>
      <c r="GM448" s="5"/>
      <c r="GN448" s="5"/>
      <c r="GO448" s="5"/>
      <c r="GP448" s="5"/>
      <c r="GQ448" s="5"/>
      <c r="GR448" s="5"/>
      <c r="GS448" s="5"/>
      <c r="GT448" s="5"/>
      <c r="GU448" s="5"/>
      <c r="GV448" s="5"/>
      <c r="GW448" s="5"/>
      <c r="GX448" s="5"/>
      <c r="GY448" s="5"/>
      <c r="GZ448" s="5"/>
      <c r="HA448" s="5"/>
      <c r="HB448" s="5"/>
      <c r="HC448" s="5"/>
      <c r="HD448" s="5"/>
      <c r="HE448" s="5"/>
      <c r="HF448" s="5"/>
      <c r="HG448" s="5"/>
      <c r="HH448" s="5"/>
      <c r="HI448" s="5"/>
      <c r="HJ448" s="5"/>
      <c r="HK448" s="5"/>
      <c r="HL448" s="5"/>
      <c r="HM448" s="5"/>
      <c r="HN448" s="5"/>
      <c r="HO448" s="5"/>
      <c r="HP448" s="5"/>
      <c r="HQ448" s="5"/>
      <c r="HR448" s="5"/>
      <c r="HS448" s="5"/>
      <c r="HT448" s="5"/>
      <c r="HU448" s="5"/>
      <c r="HV448" s="5"/>
    </row>
    <row r="449" spans="21:230" ht="12.75">
      <c r="U449" s="5"/>
      <c r="V449" s="5"/>
      <c r="W449" s="5"/>
      <c r="X449" s="5"/>
      <c r="Y449" s="5"/>
      <c r="AA449" s="5"/>
      <c r="AB449" s="5"/>
      <c r="AC449" s="5"/>
      <c r="AD449" s="5"/>
      <c r="AE449" s="5"/>
      <c r="AY449" s="5"/>
      <c r="AZ449" s="5"/>
      <c r="BA449" s="5"/>
      <c r="BB449" s="5"/>
      <c r="BC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  <c r="GL449" s="5"/>
      <c r="GM449" s="5"/>
      <c r="GN449" s="5"/>
      <c r="GO449" s="5"/>
      <c r="GP449" s="5"/>
      <c r="GQ449" s="5"/>
      <c r="GR449" s="5"/>
      <c r="GS449" s="5"/>
      <c r="GT449" s="5"/>
      <c r="GU449" s="5"/>
      <c r="GV449" s="5"/>
      <c r="GW449" s="5"/>
      <c r="GX449" s="5"/>
      <c r="GY449" s="5"/>
      <c r="GZ449" s="5"/>
      <c r="HA449" s="5"/>
      <c r="HB449" s="5"/>
      <c r="HC449" s="5"/>
      <c r="HD449" s="5"/>
      <c r="HE449" s="5"/>
      <c r="HF449" s="5"/>
      <c r="HG449" s="5"/>
      <c r="HH449" s="5"/>
      <c r="HI449" s="5"/>
      <c r="HJ449" s="5"/>
      <c r="HK449" s="5"/>
      <c r="HL449" s="5"/>
      <c r="HM449" s="5"/>
      <c r="HN449" s="5"/>
      <c r="HO449" s="5"/>
      <c r="HP449" s="5"/>
      <c r="HQ449" s="5"/>
      <c r="HR449" s="5"/>
      <c r="HS449" s="5"/>
      <c r="HT449" s="5"/>
      <c r="HU449" s="5"/>
      <c r="HV449" s="5"/>
    </row>
    <row r="450" spans="21:230" ht="12.75">
      <c r="U450" s="5"/>
      <c r="V450" s="5"/>
      <c r="W450" s="5"/>
      <c r="X450" s="5"/>
      <c r="Y450" s="5"/>
      <c r="AA450" s="5"/>
      <c r="AB450" s="5"/>
      <c r="AC450" s="5"/>
      <c r="AD450" s="5"/>
      <c r="AE450" s="5"/>
      <c r="AY450" s="5"/>
      <c r="AZ450" s="5"/>
      <c r="BA450" s="5"/>
      <c r="BB450" s="5"/>
      <c r="BC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  <c r="GL450" s="5"/>
      <c r="GM450" s="5"/>
      <c r="GN450" s="5"/>
      <c r="GO450" s="5"/>
      <c r="GP450" s="5"/>
      <c r="GQ450" s="5"/>
      <c r="GR450" s="5"/>
      <c r="GS450" s="5"/>
      <c r="GT450" s="5"/>
      <c r="GU450" s="5"/>
      <c r="GV450" s="5"/>
      <c r="GW450" s="5"/>
      <c r="GX450" s="5"/>
      <c r="GY450" s="5"/>
      <c r="GZ450" s="5"/>
      <c r="HA450" s="5"/>
      <c r="HB450" s="5"/>
      <c r="HC450" s="5"/>
      <c r="HD450" s="5"/>
      <c r="HE450" s="5"/>
      <c r="HF450" s="5"/>
      <c r="HG450" s="5"/>
      <c r="HH450" s="5"/>
      <c r="HI450" s="5"/>
      <c r="HJ450" s="5"/>
      <c r="HK450" s="5"/>
      <c r="HL450" s="5"/>
      <c r="HM450" s="5"/>
      <c r="HN450" s="5"/>
      <c r="HO450" s="5"/>
      <c r="HP450" s="5"/>
      <c r="HQ450" s="5"/>
      <c r="HR450" s="5"/>
      <c r="HS450" s="5"/>
      <c r="HT450" s="5"/>
      <c r="HU450" s="5"/>
      <c r="HV450" s="5"/>
    </row>
    <row r="451" spans="21:230" ht="12.75">
      <c r="U451" s="5"/>
      <c r="V451" s="5"/>
      <c r="W451" s="5"/>
      <c r="X451" s="5"/>
      <c r="Y451" s="5"/>
      <c r="AA451" s="5"/>
      <c r="AB451" s="5"/>
      <c r="AC451" s="5"/>
      <c r="AD451" s="5"/>
      <c r="AE451" s="5"/>
      <c r="AY451" s="5"/>
      <c r="AZ451" s="5"/>
      <c r="BA451" s="5"/>
      <c r="BB451" s="5"/>
      <c r="BC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  <c r="GL451" s="5"/>
      <c r="GM451" s="5"/>
      <c r="GN451" s="5"/>
      <c r="GO451" s="5"/>
      <c r="GP451" s="5"/>
      <c r="GQ451" s="5"/>
      <c r="GR451" s="5"/>
      <c r="GS451" s="5"/>
      <c r="GT451" s="5"/>
      <c r="GU451" s="5"/>
      <c r="GV451" s="5"/>
      <c r="GW451" s="5"/>
      <c r="GX451" s="5"/>
      <c r="GY451" s="5"/>
      <c r="GZ451" s="5"/>
      <c r="HA451" s="5"/>
      <c r="HB451" s="5"/>
      <c r="HC451" s="5"/>
      <c r="HD451" s="5"/>
      <c r="HE451" s="5"/>
      <c r="HF451" s="5"/>
      <c r="HG451" s="5"/>
      <c r="HH451" s="5"/>
      <c r="HI451" s="5"/>
      <c r="HJ451" s="5"/>
      <c r="HK451" s="5"/>
      <c r="HL451" s="5"/>
      <c r="HM451" s="5"/>
      <c r="HN451" s="5"/>
      <c r="HO451" s="5"/>
      <c r="HP451" s="5"/>
      <c r="HQ451" s="5"/>
      <c r="HR451" s="5"/>
      <c r="HS451" s="5"/>
      <c r="HT451" s="5"/>
      <c r="HU451" s="5"/>
      <c r="HV451" s="5"/>
    </row>
    <row r="452" spans="21:230" ht="12.75">
      <c r="U452" s="5"/>
      <c r="V452" s="5"/>
      <c r="W452" s="5"/>
      <c r="X452" s="5"/>
      <c r="Y452" s="5"/>
      <c r="AA452" s="5"/>
      <c r="AB452" s="5"/>
      <c r="AC452" s="5"/>
      <c r="AD452" s="5"/>
      <c r="AE452" s="5"/>
      <c r="AY452" s="5"/>
      <c r="AZ452" s="5"/>
      <c r="BA452" s="5"/>
      <c r="BB452" s="5"/>
      <c r="BC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  <c r="GL452" s="5"/>
      <c r="GM452" s="5"/>
      <c r="GN452" s="5"/>
      <c r="GO452" s="5"/>
      <c r="GP452" s="5"/>
      <c r="GQ452" s="5"/>
      <c r="GR452" s="5"/>
      <c r="GS452" s="5"/>
      <c r="GT452" s="5"/>
      <c r="GU452" s="5"/>
      <c r="GV452" s="5"/>
      <c r="GW452" s="5"/>
      <c r="GX452" s="5"/>
      <c r="GY452" s="5"/>
      <c r="GZ452" s="5"/>
      <c r="HA452" s="5"/>
      <c r="HB452" s="5"/>
      <c r="HC452" s="5"/>
      <c r="HD452" s="5"/>
      <c r="HE452" s="5"/>
      <c r="HF452" s="5"/>
      <c r="HG452" s="5"/>
      <c r="HH452" s="5"/>
      <c r="HI452" s="5"/>
      <c r="HJ452" s="5"/>
      <c r="HK452" s="5"/>
      <c r="HL452" s="5"/>
      <c r="HM452" s="5"/>
      <c r="HN452" s="5"/>
      <c r="HO452" s="5"/>
      <c r="HP452" s="5"/>
      <c r="HQ452" s="5"/>
      <c r="HR452" s="5"/>
      <c r="HS452" s="5"/>
      <c r="HT452" s="5"/>
      <c r="HU452" s="5"/>
      <c r="HV452" s="5"/>
    </row>
    <row r="453" spans="21:230" ht="12.75">
      <c r="U453" s="5"/>
      <c r="V453" s="5"/>
      <c r="W453" s="5"/>
      <c r="X453" s="5"/>
      <c r="Y453" s="5"/>
      <c r="AA453" s="5"/>
      <c r="AB453" s="5"/>
      <c r="AC453" s="5"/>
      <c r="AD453" s="5"/>
      <c r="AE453" s="5"/>
      <c r="AY453" s="5"/>
      <c r="AZ453" s="5"/>
      <c r="BA453" s="5"/>
      <c r="BB453" s="5"/>
      <c r="BC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  <c r="GL453" s="5"/>
      <c r="GM453" s="5"/>
      <c r="GN453" s="5"/>
      <c r="GO453" s="5"/>
      <c r="GP453" s="5"/>
      <c r="GQ453" s="5"/>
      <c r="GR453" s="5"/>
      <c r="GS453" s="5"/>
      <c r="GT453" s="5"/>
      <c r="GU453" s="5"/>
      <c r="GV453" s="5"/>
      <c r="GW453" s="5"/>
      <c r="GX453" s="5"/>
      <c r="GY453" s="5"/>
      <c r="GZ453" s="5"/>
      <c r="HA453" s="5"/>
      <c r="HB453" s="5"/>
      <c r="HC453" s="5"/>
      <c r="HD453" s="5"/>
      <c r="HE453" s="5"/>
      <c r="HF453" s="5"/>
      <c r="HG453" s="5"/>
      <c r="HH453" s="5"/>
      <c r="HI453" s="5"/>
      <c r="HJ453" s="5"/>
      <c r="HK453" s="5"/>
      <c r="HL453" s="5"/>
      <c r="HM453" s="5"/>
      <c r="HN453" s="5"/>
      <c r="HO453" s="5"/>
      <c r="HP453" s="5"/>
      <c r="HQ453" s="5"/>
      <c r="HR453" s="5"/>
      <c r="HS453" s="5"/>
      <c r="HT453" s="5"/>
      <c r="HU453" s="5"/>
      <c r="HV453" s="5"/>
    </row>
    <row r="454" spans="21:230" ht="12.75">
      <c r="U454" s="5"/>
      <c r="V454" s="5"/>
      <c r="W454" s="5"/>
      <c r="X454" s="5"/>
      <c r="Y454" s="5"/>
      <c r="AA454" s="5"/>
      <c r="AB454" s="5"/>
      <c r="AC454" s="5"/>
      <c r="AD454" s="5"/>
      <c r="AE454" s="5"/>
      <c r="AY454" s="5"/>
      <c r="AZ454" s="5"/>
      <c r="BA454" s="5"/>
      <c r="BB454" s="5"/>
      <c r="BC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  <c r="GL454" s="5"/>
      <c r="GM454" s="5"/>
      <c r="GN454" s="5"/>
      <c r="GO454" s="5"/>
      <c r="GP454" s="5"/>
      <c r="GQ454" s="5"/>
      <c r="GR454" s="5"/>
      <c r="GS454" s="5"/>
      <c r="GT454" s="5"/>
      <c r="GU454" s="5"/>
      <c r="GV454" s="5"/>
      <c r="GW454" s="5"/>
      <c r="GX454" s="5"/>
      <c r="GY454" s="5"/>
      <c r="GZ454" s="5"/>
      <c r="HA454" s="5"/>
      <c r="HB454" s="5"/>
      <c r="HC454" s="5"/>
      <c r="HD454" s="5"/>
      <c r="HE454" s="5"/>
      <c r="HF454" s="5"/>
      <c r="HG454" s="5"/>
      <c r="HH454" s="5"/>
      <c r="HI454" s="5"/>
      <c r="HJ454" s="5"/>
      <c r="HK454" s="5"/>
      <c r="HL454" s="5"/>
      <c r="HM454" s="5"/>
      <c r="HN454" s="5"/>
      <c r="HO454" s="5"/>
      <c r="HP454" s="5"/>
      <c r="HQ454" s="5"/>
      <c r="HR454" s="5"/>
      <c r="HS454" s="5"/>
      <c r="HT454" s="5"/>
      <c r="HU454" s="5"/>
      <c r="HV454" s="5"/>
    </row>
    <row r="455" spans="21:230" ht="12.75">
      <c r="U455" s="5"/>
      <c r="V455" s="5"/>
      <c r="W455" s="5"/>
      <c r="X455" s="5"/>
      <c r="Y455" s="5"/>
      <c r="AA455" s="5"/>
      <c r="AB455" s="5"/>
      <c r="AC455" s="5"/>
      <c r="AD455" s="5"/>
      <c r="AE455" s="5"/>
      <c r="AY455" s="5"/>
      <c r="AZ455" s="5"/>
      <c r="BA455" s="5"/>
      <c r="BB455" s="5"/>
      <c r="BC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  <c r="GR455" s="5"/>
      <c r="GS455" s="5"/>
      <c r="GT455" s="5"/>
      <c r="GU455" s="5"/>
      <c r="GV455" s="5"/>
      <c r="GW455" s="5"/>
      <c r="GX455" s="5"/>
      <c r="GY455" s="5"/>
      <c r="GZ455" s="5"/>
      <c r="HA455" s="5"/>
      <c r="HB455" s="5"/>
      <c r="HC455" s="5"/>
      <c r="HD455" s="5"/>
      <c r="HE455" s="5"/>
      <c r="HF455" s="5"/>
      <c r="HG455" s="5"/>
      <c r="HH455" s="5"/>
      <c r="HI455" s="5"/>
      <c r="HJ455" s="5"/>
      <c r="HK455" s="5"/>
      <c r="HL455" s="5"/>
      <c r="HM455" s="5"/>
      <c r="HN455" s="5"/>
      <c r="HO455" s="5"/>
      <c r="HP455" s="5"/>
      <c r="HQ455" s="5"/>
      <c r="HR455" s="5"/>
      <c r="HS455" s="5"/>
      <c r="HT455" s="5"/>
      <c r="HU455" s="5"/>
      <c r="HV455" s="5"/>
    </row>
    <row r="456" spans="21:230" ht="12.75">
      <c r="U456" s="5"/>
      <c r="V456" s="5"/>
      <c r="W456" s="5"/>
      <c r="X456" s="5"/>
      <c r="Y456" s="5"/>
      <c r="AA456" s="5"/>
      <c r="AB456" s="5"/>
      <c r="AC456" s="5"/>
      <c r="AD456" s="5"/>
      <c r="AE456" s="5"/>
      <c r="AY456" s="5"/>
      <c r="AZ456" s="5"/>
      <c r="BA456" s="5"/>
      <c r="BB456" s="5"/>
      <c r="BC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  <c r="GR456" s="5"/>
      <c r="GS456" s="5"/>
      <c r="GT456" s="5"/>
      <c r="GU456" s="5"/>
      <c r="GV456" s="5"/>
      <c r="GW456" s="5"/>
      <c r="GX456" s="5"/>
      <c r="GY456" s="5"/>
      <c r="GZ456" s="5"/>
      <c r="HA456" s="5"/>
      <c r="HB456" s="5"/>
      <c r="HC456" s="5"/>
      <c r="HD456" s="5"/>
      <c r="HE456" s="5"/>
      <c r="HF456" s="5"/>
      <c r="HG456" s="5"/>
      <c r="HH456" s="5"/>
      <c r="HI456" s="5"/>
      <c r="HJ456" s="5"/>
      <c r="HK456" s="5"/>
      <c r="HL456" s="5"/>
      <c r="HM456" s="5"/>
      <c r="HN456" s="5"/>
      <c r="HO456" s="5"/>
      <c r="HP456" s="5"/>
      <c r="HQ456" s="5"/>
      <c r="HR456" s="5"/>
      <c r="HS456" s="5"/>
      <c r="HT456" s="5"/>
      <c r="HU456" s="5"/>
      <c r="HV456" s="5"/>
    </row>
    <row r="457" spans="21:230" ht="12.75">
      <c r="U457" s="5"/>
      <c r="V457" s="5"/>
      <c r="W457" s="5"/>
      <c r="X457" s="5"/>
      <c r="Y457" s="5"/>
      <c r="AA457" s="5"/>
      <c r="AB457" s="5"/>
      <c r="AC457" s="5"/>
      <c r="AD457" s="5"/>
      <c r="AE457" s="5"/>
      <c r="AY457" s="5"/>
      <c r="AZ457" s="5"/>
      <c r="BA457" s="5"/>
      <c r="BB457" s="5"/>
      <c r="BC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  <c r="GR457" s="5"/>
      <c r="GS457" s="5"/>
      <c r="GT457" s="5"/>
      <c r="GU457" s="5"/>
      <c r="GV457" s="5"/>
      <c r="GW457" s="5"/>
      <c r="GX457" s="5"/>
      <c r="GY457" s="5"/>
      <c r="GZ457" s="5"/>
      <c r="HA457" s="5"/>
      <c r="HB457" s="5"/>
      <c r="HC457" s="5"/>
      <c r="HD457" s="5"/>
      <c r="HE457" s="5"/>
      <c r="HF457" s="5"/>
      <c r="HG457" s="5"/>
      <c r="HH457" s="5"/>
      <c r="HI457" s="5"/>
      <c r="HJ457" s="5"/>
      <c r="HK457" s="5"/>
      <c r="HL457" s="5"/>
      <c r="HM457" s="5"/>
      <c r="HN457" s="5"/>
      <c r="HO457" s="5"/>
      <c r="HP457" s="5"/>
      <c r="HQ457" s="5"/>
      <c r="HR457" s="5"/>
      <c r="HS457" s="5"/>
      <c r="HT457" s="5"/>
      <c r="HU457" s="5"/>
      <c r="HV457" s="5"/>
    </row>
    <row r="458" spans="21:230" ht="12.75">
      <c r="U458" s="5"/>
      <c r="V458" s="5"/>
      <c r="W458" s="5"/>
      <c r="X458" s="5"/>
      <c r="Y458" s="5"/>
      <c r="AA458" s="5"/>
      <c r="AB458" s="5"/>
      <c r="AC458" s="5"/>
      <c r="AD458" s="5"/>
      <c r="AE458" s="5"/>
      <c r="AY458" s="5"/>
      <c r="AZ458" s="5"/>
      <c r="BA458" s="5"/>
      <c r="BB458" s="5"/>
      <c r="BC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  <c r="GR458" s="5"/>
      <c r="GS458" s="5"/>
      <c r="GT458" s="5"/>
      <c r="GU458" s="5"/>
      <c r="GV458" s="5"/>
      <c r="GW458" s="5"/>
      <c r="GX458" s="5"/>
      <c r="GY458" s="5"/>
      <c r="GZ458" s="5"/>
      <c r="HA458" s="5"/>
      <c r="HB458" s="5"/>
      <c r="HC458" s="5"/>
      <c r="HD458" s="5"/>
      <c r="HE458" s="5"/>
      <c r="HF458" s="5"/>
      <c r="HG458" s="5"/>
      <c r="HH458" s="5"/>
      <c r="HI458" s="5"/>
      <c r="HJ458" s="5"/>
      <c r="HK458" s="5"/>
      <c r="HL458" s="5"/>
      <c r="HM458" s="5"/>
      <c r="HN458" s="5"/>
      <c r="HO458" s="5"/>
      <c r="HP458" s="5"/>
      <c r="HQ458" s="5"/>
      <c r="HR458" s="5"/>
      <c r="HS458" s="5"/>
      <c r="HT458" s="5"/>
      <c r="HU458" s="5"/>
      <c r="HV458" s="5"/>
    </row>
    <row r="459" spans="21:230" ht="12.75">
      <c r="U459" s="5"/>
      <c r="V459" s="5"/>
      <c r="W459" s="5"/>
      <c r="X459" s="5"/>
      <c r="Y459" s="5"/>
      <c r="AA459" s="5"/>
      <c r="AB459" s="5"/>
      <c r="AC459" s="5"/>
      <c r="AD459" s="5"/>
      <c r="AE459" s="5"/>
      <c r="AY459" s="5"/>
      <c r="AZ459" s="5"/>
      <c r="BA459" s="5"/>
      <c r="BB459" s="5"/>
      <c r="BC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  <c r="GL459" s="5"/>
      <c r="GM459" s="5"/>
      <c r="GN459" s="5"/>
      <c r="GO459" s="5"/>
      <c r="GP459" s="5"/>
      <c r="GQ459" s="5"/>
      <c r="GR459" s="5"/>
      <c r="GS459" s="5"/>
      <c r="GT459" s="5"/>
      <c r="GU459" s="5"/>
      <c r="GV459" s="5"/>
      <c r="GW459" s="5"/>
      <c r="GX459" s="5"/>
      <c r="GY459" s="5"/>
      <c r="GZ459" s="5"/>
      <c r="HA459" s="5"/>
      <c r="HB459" s="5"/>
      <c r="HC459" s="5"/>
      <c r="HD459" s="5"/>
      <c r="HE459" s="5"/>
      <c r="HF459" s="5"/>
      <c r="HG459" s="5"/>
      <c r="HH459" s="5"/>
      <c r="HI459" s="5"/>
      <c r="HJ459" s="5"/>
      <c r="HK459" s="5"/>
      <c r="HL459" s="5"/>
      <c r="HM459" s="5"/>
      <c r="HN459" s="5"/>
      <c r="HO459" s="5"/>
      <c r="HP459" s="5"/>
      <c r="HQ459" s="5"/>
      <c r="HR459" s="5"/>
      <c r="HS459" s="5"/>
      <c r="HT459" s="5"/>
      <c r="HU459" s="5"/>
      <c r="HV459" s="5"/>
    </row>
    <row r="460" spans="21:230" ht="12.75">
      <c r="U460" s="5"/>
      <c r="V460" s="5"/>
      <c r="W460" s="5"/>
      <c r="X460" s="5"/>
      <c r="Y460" s="5"/>
      <c r="AA460" s="5"/>
      <c r="AB460" s="5"/>
      <c r="AC460" s="5"/>
      <c r="AD460" s="5"/>
      <c r="AE460" s="5"/>
      <c r="AY460" s="5"/>
      <c r="AZ460" s="5"/>
      <c r="BA460" s="5"/>
      <c r="BB460" s="5"/>
      <c r="BC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  <c r="GR460" s="5"/>
      <c r="GS460" s="5"/>
      <c r="GT460" s="5"/>
      <c r="GU460" s="5"/>
      <c r="GV460" s="5"/>
      <c r="GW460" s="5"/>
      <c r="GX460" s="5"/>
      <c r="GY460" s="5"/>
      <c r="GZ460" s="5"/>
      <c r="HA460" s="5"/>
      <c r="HB460" s="5"/>
      <c r="HC460" s="5"/>
      <c r="HD460" s="5"/>
      <c r="HE460" s="5"/>
      <c r="HF460" s="5"/>
      <c r="HG460" s="5"/>
      <c r="HH460" s="5"/>
      <c r="HI460" s="5"/>
      <c r="HJ460" s="5"/>
      <c r="HK460" s="5"/>
      <c r="HL460" s="5"/>
      <c r="HM460" s="5"/>
      <c r="HN460" s="5"/>
      <c r="HO460" s="5"/>
      <c r="HP460" s="5"/>
      <c r="HQ460" s="5"/>
      <c r="HR460" s="5"/>
      <c r="HS460" s="5"/>
      <c r="HT460" s="5"/>
      <c r="HU460" s="5"/>
      <c r="HV460" s="5"/>
    </row>
    <row r="461" spans="21:230" ht="12.75">
      <c r="U461" s="5"/>
      <c r="V461" s="5"/>
      <c r="W461" s="5"/>
      <c r="X461" s="5"/>
      <c r="Y461" s="5"/>
      <c r="AA461" s="5"/>
      <c r="AB461" s="5"/>
      <c r="AC461" s="5"/>
      <c r="AD461" s="5"/>
      <c r="AE461" s="5"/>
      <c r="AY461" s="5"/>
      <c r="AZ461" s="5"/>
      <c r="BA461" s="5"/>
      <c r="BB461" s="5"/>
      <c r="BC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  <c r="GL461" s="5"/>
      <c r="GM461" s="5"/>
      <c r="GN461" s="5"/>
      <c r="GO461" s="5"/>
      <c r="GP461" s="5"/>
      <c r="GQ461" s="5"/>
      <c r="GR461" s="5"/>
      <c r="GS461" s="5"/>
      <c r="GT461" s="5"/>
      <c r="GU461" s="5"/>
      <c r="GV461" s="5"/>
      <c r="GW461" s="5"/>
      <c r="GX461" s="5"/>
      <c r="GY461" s="5"/>
      <c r="GZ461" s="5"/>
      <c r="HA461" s="5"/>
      <c r="HB461" s="5"/>
      <c r="HC461" s="5"/>
      <c r="HD461" s="5"/>
      <c r="HE461" s="5"/>
      <c r="HF461" s="5"/>
      <c r="HG461" s="5"/>
      <c r="HH461" s="5"/>
      <c r="HI461" s="5"/>
      <c r="HJ461" s="5"/>
      <c r="HK461" s="5"/>
      <c r="HL461" s="5"/>
      <c r="HM461" s="5"/>
      <c r="HN461" s="5"/>
      <c r="HO461" s="5"/>
      <c r="HP461" s="5"/>
      <c r="HQ461" s="5"/>
      <c r="HR461" s="5"/>
      <c r="HS461" s="5"/>
      <c r="HT461" s="5"/>
      <c r="HU461" s="5"/>
      <c r="HV461" s="5"/>
    </row>
    <row r="462" spans="21:230" ht="12.75">
      <c r="U462" s="5"/>
      <c r="V462" s="5"/>
      <c r="W462" s="5"/>
      <c r="X462" s="5"/>
      <c r="Y462" s="5"/>
      <c r="AA462" s="5"/>
      <c r="AB462" s="5"/>
      <c r="AC462" s="5"/>
      <c r="AD462" s="5"/>
      <c r="AE462" s="5"/>
      <c r="AY462" s="5"/>
      <c r="AZ462" s="5"/>
      <c r="BA462" s="5"/>
      <c r="BB462" s="5"/>
      <c r="BC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  <c r="GL462" s="5"/>
      <c r="GM462" s="5"/>
      <c r="GN462" s="5"/>
      <c r="GO462" s="5"/>
      <c r="GP462" s="5"/>
      <c r="GQ462" s="5"/>
      <c r="GR462" s="5"/>
      <c r="GS462" s="5"/>
      <c r="GT462" s="5"/>
      <c r="GU462" s="5"/>
      <c r="GV462" s="5"/>
      <c r="GW462" s="5"/>
      <c r="GX462" s="5"/>
      <c r="GY462" s="5"/>
      <c r="GZ462" s="5"/>
      <c r="HA462" s="5"/>
      <c r="HB462" s="5"/>
      <c r="HC462" s="5"/>
      <c r="HD462" s="5"/>
      <c r="HE462" s="5"/>
      <c r="HF462" s="5"/>
      <c r="HG462" s="5"/>
      <c r="HH462" s="5"/>
      <c r="HI462" s="5"/>
      <c r="HJ462" s="5"/>
      <c r="HK462" s="5"/>
      <c r="HL462" s="5"/>
      <c r="HM462" s="5"/>
      <c r="HN462" s="5"/>
      <c r="HO462" s="5"/>
      <c r="HP462" s="5"/>
      <c r="HQ462" s="5"/>
      <c r="HR462" s="5"/>
      <c r="HS462" s="5"/>
      <c r="HT462" s="5"/>
      <c r="HU462" s="5"/>
      <c r="HV462" s="5"/>
    </row>
    <row r="463" spans="21:230" ht="12.75">
      <c r="U463" s="5"/>
      <c r="V463" s="5"/>
      <c r="W463" s="5"/>
      <c r="X463" s="5"/>
      <c r="Y463" s="5"/>
      <c r="AA463" s="5"/>
      <c r="AB463" s="5"/>
      <c r="AC463" s="5"/>
      <c r="AD463" s="5"/>
      <c r="AE463" s="5"/>
      <c r="AY463" s="5"/>
      <c r="AZ463" s="5"/>
      <c r="BA463" s="5"/>
      <c r="BB463" s="5"/>
      <c r="BC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  <c r="GL463" s="5"/>
      <c r="GM463" s="5"/>
      <c r="GN463" s="5"/>
      <c r="GO463" s="5"/>
      <c r="GP463" s="5"/>
      <c r="GQ463" s="5"/>
      <c r="GR463" s="5"/>
      <c r="GS463" s="5"/>
      <c r="GT463" s="5"/>
      <c r="GU463" s="5"/>
      <c r="GV463" s="5"/>
      <c r="GW463" s="5"/>
      <c r="GX463" s="5"/>
      <c r="GY463" s="5"/>
      <c r="GZ463" s="5"/>
      <c r="HA463" s="5"/>
      <c r="HB463" s="5"/>
      <c r="HC463" s="5"/>
      <c r="HD463" s="5"/>
      <c r="HE463" s="5"/>
      <c r="HF463" s="5"/>
      <c r="HG463" s="5"/>
      <c r="HH463" s="5"/>
      <c r="HI463" s="5"/>
      <c r="HJ463" s="5"/>
      <c r="HK463" s="5"/>
      <c r="HL463" s="5"/>
      <c r="HM463" s="5"/>
      <c r="HN463" s="5"/>
      <c r="HO463" s="5"/>
      <c r="HP463" s="5"/>
      <c r="HQ463" s="5"/>
      <c r="HR463" s="5"/>
      <c r="HS463" s="5"/>
      <c r="HT463" s="5"/>
      <c r="HU463" s="5"/>
      <c r="HV463" s="5"/>
    </row>
    <row r="464" spans="21:230" ht="12.75">
      <c r="U464" s="5"/>
      <c r="V464" s="5"/>
      <c r="W464" s="5"/>
      <c r="X464" s="5"/>
      <c r="Y464" s="5"/>
      <c r="AA464" s="5"/>
      <c r="AB464" s="5"/>
      <c r="AC464" s="5"/>
      <c r="AD464" s="5"/>
      <c r="AE464" s="5"/>
      <c r="AY464" s="5"/>
      <c r="AZ464" s="5"/>
      <c r="BA464" s="5"/>
      <c r="BB464" s="5"/>
      <c r="BC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  <c r="GR464" s="5"/>
      <c r="GS464" s="5"/>
      <c r="GT464" s="5"/>
      <c r="GU464" s="5"/>
      <c r="GV464" s="5"/>
      <c r="GW464" s="5"/>
      <c r="GX464" s="5"/>
      <c r="GY464" s="5"/>
      <c r="GZ464" s="5"/>
      <c r="HA464" s="5"/>
      <c r="HB464" s="5"/>
      <c r="HC464" s="5"/>
      <c r="HD464" s="5"/>
      <c r="HE464" s="5"/>
      <c r="HF464" s="5"/>
      <c r="HG464" s="5"/>
      <c r="HH464" s="5"/>
      <c r="HI464" s="5"/>
      <c r="HJ464" s="5"/>
      <c r="HK464" s="5"/>
      <c r="HL464" s="5"/>
      <c r="HM464" s="5"/>
      <c r="HN464" s="5"/>
      <c r="HO464" s="5"/>
      <c r="HP464" s="5"/>
      <c r="HQ464" s="5"/>
      <c r="HR464" s="5"/>
      <c r="HS464" s="5"/>
      <c r="HT464" s="5"/>
      <c r="HU464" s="5"/>
      <c r="HV464" s="5"/>
    </row>
    <row r="465" spans="21:230" ht="12.75">
      <c r="U465" s="5"/>
      <c r="V465" s="5"/>
      <c r="W465" s="5"/>
      <c r="X465" s="5"/>
      <c r="Y465" s="5"/>
      <c r="AA465" s="5"/>
      <c r="AB465" s="5"/>
      <c r="AC465" s="5"/>
      <c r="AD465" s="5"/>
      <c r="AE465" s="5"/>
      <c r="AY465" s="5"/>
      <c r="AZ465" s="5"/>
      <c r="BA465" s="5"/>
      <c r="BB465" s="5"/>
      <c r="BC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  <c r="GR465" s="5"/>
      <c r="GS465" s="5"/>
      <c r="GT465" s="5"/>
      <c r="GU465" s="5"/>
      <c r="GV465" s="5"/>
      <c r="GW465" s="5"/>
      <c r="GX465" s="5"/>
      <c r="GY465" s="5"/>
      <c r="GZ465" s="5"/>
      <c r="HA465" s="5"/>
      <c r="HB465" s="5"/>
      <c r="HC465" s="5"/>
      <c r="HD465" s="5"/>
      <c r="HE465" s="5"/>
      <c r="HF465" s="5"/>
      <c r="HG465" s="5"/>
      <c r="HH465" s="5"/>
      <c r="HI465" s="5"/>
      <c r="HJ465" s="5"/>
      <c r="HK465" s="5"/>
      <c r="HL465" s="5"/>
      <c r="HM465" s="5"/>
      <c r="HN465" s="5"/>
      <c r="HO465" s="5"/>
      <c r="HP465" s="5"/>
      <c r="HQ465" s="5"/>
      <c r="HR465" s="5"/>
      <c r="HS465" s="5"/>
      <c r="HT465" s="5"/>
      <c r="HU465" s="5"/>
      <c r="HV465" s="5"/>
    </row>
    <row r="466" spans="21:230" ht="12.75">
      <c r="U466" s="5"/>
      <c r="V466" s="5"/>
      <c r="W466" s="5"/>
      <c r="X466" s="5"/>
      <c r="Y466" s="5"/>
      <c r="AA466" s="5"/>
      <c r="AB466" s="5"/>
      <c r="AC466" s="5"/>
      <c r="AD466" s="5"/>
      <c r="AE466" s="5"/>
      <c r="AY466" s="5"/>
      <c r="AZ466" s="5"/>
      <c r="BA466" s="5"/>
      <c r="BB466" s="5"/>
      <c r="BC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  <c r="GR466" s="5"/>
      <c r="GS466" s="5"/>
      <c r="GT466" s="5"/>
      <c r="GU466" s="5"/>
      <c r="GV466" s="5"/>
      <c r="GW466" s="5"/>
      <c r="GX466" s="5"/>
      <c r="GY466" s="5"/>
      <c r="GZ466" s="5"/>
      <c r="HA466" s="5"/>
      <c r="HB466" s="5"/>
      <c r="HC466" s="5"/>
      <c r="HD466" s="5"/>
      <c r="HE466" s="5"/>
      <c r="HF466" s="5"/>
      <c r="HG466" s="5"/>
      <c r="HH466" s="5"/>
      <c r="HI466" s="5"/>
      <c r="HJ466" s="5"/>
      <c r="HK466" s="5"/>
      <c r="HL466" s="5"/>
      <c r="HM466" s="5"/>
      <c r="HN466" s="5"/>
      <c r="HO466" s="5"/>
      <c r="HP466" s="5"/>
      <c r="HQ466" s="5"/>
      <c r="HR466" s="5"/>
      <c r="HS466" s="5"/>
      <c r="HT466" s="5"/>
      <c r="HU466" s="5"/>
      <c r="HV466" s="5"/>
    </row>
    <row r="467" spans="21:230" ht="12.75">
      <c r="U467" s="5"/>
      <c r="V467" s="5"/>
      <c r="W467" s="5"/>
      <c r="X467" s="5"/>
      <c r="Y467" s="5"/>
      <c r="AA467" s="5"/>
      <c r="AB467" s="5"/>
      <c r="AC467" s="5"/>
      <c r="AD467" s="5"/>
      <c r="AE467" s="5"/>
      <c r="AY467" s="5"/>
      <c r="AZ467" s="5"/>
      <c r="BA467" s="5"/>
      <c r="BB467" s="5"/>
      <c r="BC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  <c r="HM467" s="5"/>
      <c r="HN467" s="5"/>
      <c r="HO467" s="5"/>
      <c r="HP467" s="5"/>
      <c r="HQ467" s="5"/>
      <c r="HR467" s="5"/>
      <c r="HS467" s="5"/>
      <c r="HT467" s="5"/>
      <c r="HU467" s="5"/>
      <c r="HV467" s="5"/>
    </row>
    <row r="468" spans="21:230" ht="12.75">
      <c r="U468" s="5"/>
      <c r="V468" s="5"/>
      <c r="W468" s="5"/>
      <c r="X468" s="5"/>
      <c r="Y468" s="5"/>
      <c r="AA468" s="5"/>
      <c r="AB468" s="5"/>
      <c r="AC468" s="5"/>
      <c r="AD468" s="5"/>
      <c r="AE468" s="5"/>
      <c r="AY468" s="5"/>
      <c r="AZ468" s="5"/>
      <c r="BA468" s="5"/>
      <c r="BB468" s="5"/>
      <c r="BC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  <c r="GR468" s="5"/>
      <c r="GS468" s="5"/>
      <c r="GT468" s="5"/>
      <c r="GU468" s="5"/>
      <c r="GV468" s="5"/>
      <c r="GW468" s="5"/>
      <c r="GX468" s="5"/>
      <c r="GY468" s="5"/>
      <c r="GZ468" s="5"/>
      <c r="HA468" s="5"/>
      <c r="HB468" s="5"/>
      <c r="HC468" s="5"/>
      <c r="HD468" s="5"/>
      <c r="HE468" s="5"/>
      <c r="HF468" s="5"/>
      <c r="HG468" s="5"/>
      <c r="HH468" s="5"/>
      <c r="HI468" s="5"/>
      <c r="HJ468" s="5"/>
      <c r="HK468" s="5"/>
      <c r="HL468" s="5"/>
      <c r="HM468" s="5"/>
      <c r="HN468" s="5"/>
      <c r="HO468" s="5"/>
      <c r="HP468" s="5"/>
      <c r="HQ468" s="5"/>
      <c r="HR468" s="5"/>
      <c r="HS468" s="5"/>
      <c r="HT468" s="5"/>
      <c r="HU468" s="5"/>
      <c r="HV468" s="5"/>
    </row>
    <row r="469" spans="21:230" ht="12.75">
      <c r="U469" s="5"/>
      <c r="V469" s="5"/>
      <c r="W469" s="5"/>
      <c r="X469" s="5"/>
      <c r="Y469" s="5"/>
      <c r="AA469" s="5"/>
      <c r="AB469" s="5"/>
      <c r="AC469" s="5"/>
      <c r="AD469" s="5"/>
      <c r="AE469" s="5"/>
      <c r="AY469" s="5"/>
      <c r="AZ469" s="5"/>
      <c r="BA469" s="5"/>
      <c r="BB469" s="5"/>
      <c r="BC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  <c r="GR469" s="5"/>
      <c r="GS469" s="5"/>
      <c r="GT469" s="5"/>
      <c r="GU469" s="5"/>
      <c r="GV469" s="5"/>
      <c r="GW469" s="5"/>
      <c r="GX469" s="5"/>
      <c r="GY469" s="5"/>
      <c r="GZ469" s="5"/>
      <c r="HA469" s="5"/>
      <c r="HB469" s="5"/>
      <c r="HC469" s="5"/>
      <c r="HD469" s="5"/>
      <c r="HE469" s="5"/>
      <c r="HF469" s="5"/>
      <c r="HG469" s="5"/>
      <c r="HH469" s="5"/>
      <c r="HI469" s="5"/>
      <c r="HJ469" s="5"/>
      <c r="HK469" s="5"/>
      <c r="HL469" s="5"/>
      <c r="HM469" s="5"/>
      <c r="HN469" s="5"/>
      <c r="HO469" s="5"/>
      <c r="HP469" s="5"/>
      <c r="HQ469" s="5"/>
      <c r="HR469" s="5"/>
      <c r="HS469" s="5"/>
      <c r="HT469" s="5"/>
      <c r="HU469" s="5"/>
      <c r="HV469" s="5"/>
    </row>
    <row r="470" spans="21:230" ht="12.75">
      <c r="U470" s="5"/>
      <c r="V470" s="5"/>
      <c r="W470" s="5"/>
      <c r="X470" s="5"/>
      <c r="Y470" s="5"/>
      <c r="AA470" s="5"/>
      <c r="AB470" s="5"/>
      <c r="AC470" s="5"/>
      <c r="AD470" s="5"/>
      <c r="AE470" s="5"/>
      <c r="AY470" s="5"/>
      <c r="AZ470" s="5"/>
      <c r="BA470" s="5"/>
      <c r="BB470" s="5"/>
      <c r="BC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  <c r="GR470" s="5"/>
      <c r="GS470" s="5"/>
      <c r="GT470" s="5"/>
      <c r="GU470" s="5"/>
      <c r="GV470" s="5"/>
      <c r="GW470" s="5"/>
      <c r="GX470" s="5"/>
      <c r="GY470" s="5"/>
      <c r="GZ470" s="5"/>
      <c r="HA470" s="5"/>
      <c r="HB470" s="5"/>
      <c r="HC470" s="5"/>
      <c r="HD470" s="5"/>
      <c r="HE470" s="5"/>
      <c r="HF470" s="5"/>
      <c r="HG470" s="5"/>
      <c r="HH470" s="5"/>
      <c r="HI470" s="5"/>
      <c r="HJ470" s="5"/>
      <c r="HK470" s="5"/>
      <c r="HL470" s="5"/>
      <c r="HM470" s="5"/>
      <c r="HN470" s="5"/>
      <c r="HO470" s="5"/>
      <c r="HP470" s="5"/>
      <c r="HQ470" s="5"/>
      <c r="HR470" s="5"/>
      <c r="HS470" s="5"/>
      <c r="HT470" s="5"/>
      <c r="HU470" s="5"/>
      <c r="HV470" s="5"/>
    </row>
    <row r="471" spans="21:230" ht="12.75">
      <c r="U471" s="5"/>
      <c r="V471" s="5"/>
      <c r="W471" s="5"/>
      <c r="X471" s="5"/>
      <c r="Y471" s="5"/>
      <c r="AA471" s="5"/>
      <c r="AB471" s="5"/>
      <c r="AC471" s="5"/>
      <c r="AD471" s="5"/>
      <c r="AE471" s="5"/>
      <c r="AY471" s="5"/>
      <c r="AZ471" s="5"/>
      <c r="BA471" s="5"/>
      <c r="BB471" s="5"/>
      <c r="BC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  <c r="GL471" s="5"/>
      <c r="GM471" s="5"/>
      <c r="GN471" s="5"/>
      <c r="GO471" s="5"/>
      <c r="GP471" s="5"/>
      <c r="GQ471" s="5"/>
      <c r="GR471" s="5"/>
      <c r="GS471" s="5"/>
      <c r="GT471" s="5"/>
      <c r="GU471" s="5"/>
      <c r="GV471" s="5"/>
      <c r="GW471" s="5"/>
      <c r="GX471" s="5"/>
      <c r="GY471" s="5"/>
      <c r="GZ471" s="5"/>
      <c r="HA471" s="5"/>
      <c r="HB471" s="5"/>
      <c r="HC471" s="5"/>
      <c r="HD471" s="5"/>
      <c r="HE471" s="5"/>
      <c r="HF471" s="5"/>
      <c r="HG471" s="5"/>
      <c r="HH471" s="5"/>
      <c r="HI471" s="5"/>
      <c r="HJ471" s="5"/>
      <c r="HK471" s="5"/>
      <c r="HL471" s="5"/>
      <c r="HM471" s="5"/>
      <c r="HN471" s="5"/>
      <c r="HO471" s="5"/>
      <c r="HP471" s="5"/>
      <c r="HQ471" s="5"/>
      <c r="HR471" s="5"/>
      <c r="HS471" s="5"/>
      <c r="HT471" s="5"/>
      <c r="HU471" s="5"/>
      <c r="HV471" s="5"/>
    </row>
    <row r="472" spans="21:230" ht="12.75">
      <c r="U472" s="5"/>
      <c r="V472" s="5"/>
      <c r="W472" s="5"/>
      <c r="X472" s="5"/>
      <c r="Y472" s="5"/>
      <c r="AA472" s="5"/>
      <c r="AB472" s="5"/>
      <c r="AC472" s="5"/>
      <c r="AD472" s="5"/>
      <c r="AE472" s="5"/>
      <c r="AY472" s="5"/>
      <c r="AZ472" s="5"/>
      <c r="BA472" s="5"/>
      <c r="BB472" s="5"/>
      <c r="BC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  <c r="GL472" s="5"/>
      <c r="GM472" s="5"/>
      <c r="GN472" s="5"/>
      <c r="GO472" s="5"/>
      <c r="GP472" s="5"/>
      <c r="GQ472" s="5"/>
      <c r="GR472" s="5"/>
      <c r="GS472" s="5"/>
      <c r="GT472" s="5"/>
      <c r="GU472" s="5"/>
      <c r="GV472" s="5"/>
      <c r="GW472" s="5"/>
      <c r="GX472" s="5"/>
      <c r="GY472" s="5"/>
      <c r="GZ472" s="5"/>
      <c r="HA472" s="5"/>
      <c r="HB472" s="5"/>
      <c r="HC472" s="5"/>
      <c r="HD472" s="5"/>
      <c r="HE472" s="5"/>
      <c r="HF472" s="5"/>
      <c r="HG472" s="5"/>
      <c r="HH472" s="5"/>
      <c r="HI472" s="5"/>
      <c r="HJ472" s="5"/>
      <c r="HK472" s="5"/>
      <c r="HL472" s="5"/>
      <c r="HM472" s="5"/>
      <c r="HN472" s="5"/>
      <c r="HO472" s="5"/>
      <c r="HP472" s="5"/>
      <c r="HQ472" s="5"/>
      <c r="HR472" s="5"/>
      <c r="HS472" s="5"/>
      <c r="HT472" s="5"/>
      <c r="HU472" s="5"/>
      <c r="HV472" s="5"/>
    </row>
    <row r="473" spans="21:230" ht="12.75">
      <c r="U473" s="5"/>
      <c r="V473" s="5"/>
      <c r="W473" s="5"/>
      <c r="X473" s="5"/>
      <c r="Y473" s="5"/>
      <c r="AA473" s="5"/>
      <c r="AB473" s="5"/>
      <c r="AC473" s="5"/>
      <c r="AD473" s="5"/>
      <c r="AE473" s="5"/>
      <c r="AY473" s="5"/>
      <c r="AZ473" s="5"/>
      <c r="BA473" s="5"/>
      <c r="BB473" s="5"/>
      <c r="BC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  <c r="HB473" s="5"/>
      <c r="HC473" s="5"/>
      <c r="HD473" s="5"/>
      <c r="HE473" s="5"/>
      <c r="HF473" s="5"/>
      <c r="HG473" s="5"/>
      <c r="HH473" s="5"/>
      <c r="HI473" s="5"/>
      <c r="HJ473" s="5"/>
      <c r="HK473" s="5"/>
      <c r="HL473" s="5"/>
      <c r="HM473" s="5"/>
      <c r="HN473" s="5"/>
      <c r="HO473" s="5"/>
      <c r="HP473" s="5"/>
      <c r="HQ473" s="5"/>
      <c r="HR473" s="5"/>
      <c r="HS473" s="5"/>
      <c r="HT473" s="5"/>
      <c r="HU473" s="5"/>
      <c r="HV473" s="5"/>
    </row>
    <row r="474" spans="21:230" ht="12.75">
      <c r="U474" s="5"/>
      <c r="V474" s="5"/>
      <c r="W474" s="5"/>
      <c r="X474" s="5"/>
      <c r="Y474" s="5"/>
      <c r="AA474" s="5"/>
      <c r="AB474" s="5"/>
      <c r="AC474" s="5"/>
      <c r="AD474" s="5"/>
      <c r="AE474" s="5"/>
      <c r="AY474" s="5"/>
      <c r="AZ474" s="5"/>
      <c r="BA474" s="5"/>
      <c r="BB474" s="5"/>
      <c r="BC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  <c r="HB474" s="5"/>
      <c r="HC474" s="5"/>
      <c r="HD474" s="5"/>
      <c r="HE474" s="5"/>
      <c r="HF474" s="5"/>
      <c r="HG474" s="5"/>
      <c r="HH474" s="5"/>
      <c r="HI474" s="5"/>
      <c r="HJ474" s="5"/>
      <c r="HK474" s="5"/>
      <c r="HL474" s="5"/>
      <c r="HM474" s="5"/>
      <c r="HN474" s="5"/>
      <c r="HO474" s="5"/>
      <c r="HP474" s="5"/>
      <c r="HQ474" s="5"/>
      <c r="HR474" s="5"/>
      <c r="HS474" s="5"/>
      <c r="HT474" s="5"/>
      <c r="HU474" s="5"/>
      <c r="HV474" s="5"/>
    </row>
    <row r="475" spans="21:230" ht="12.75">
      <c r="U475" s="5"/>
      <c r="V475" s="5"/>
      <c r="W475" s="5"/>
      <c r="X475" s="5"/>
      <c r="Y475" s="5"/>
      <c r="AA475" s="5"/>
      <c r="AB475" s="5"/>
      <c r="AC475" s="5"/>
      <c r="AD475" s="5"/>
      <c r="AE475" s="5"/>
      <c r="AY475" s="5"/>
      <c r="AZ475" s="5"/>
      <c r="BA475" s="5"/>
      <c r="BB475" s="5"/>
      <c r="BC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  <c r="GR475" s="5"/>
      <c r="GS475" s="5"/>
      <c r="GT475" s="5"/>
      <c r="GU475" s="5"/>
      <c r="GV475" s="5"/>
      <c r="GW475" s="5"/>
      <c r="GX475" s="5"/>
      <c r="GY475" s="5"/>
      <c r="GZ475" s="5"/>
      <c r="HA475" s="5"/>
      <c r="HB475" s="5"/>
      <c r="HC475" s="5"/>
      <c r="HD475" s="5"/>
      <c r="HE475" s="5"/>
      <c r="HF475" s="5"/>
      <c r="HG475" s="5"/>
      <c r="HH475" s="5"/>
      <c r="HI475" s="5"/>
      <c r="HJ475" s="5"/>
      <c r="HK475" s="5"/>
      <c r="HL475" s="5"/>
      <c r="HM475" s="5"/>
      <c r="HN475" s="5"/>
      <c r="HO475" s="5"/>
      <c r="HP475" s="5"/>
      <c r="HQ475" s="5"/>
      <c r="HR475" s="5"/>
      <c r="HS475" s="5"/>
      <c r="HT475" s="5"/>
      <c r="HU475" s="5"/>
      <c r="HV475" s="5"/>
    </row>
    <row r="476" spans="21:230" ht="12.75">
      <c r="U476" s="5"/>
      <c r="V476" s="5"/>
      <c r="W476" s="5"/>
      <c r="X476" s="5"/>
      <c r="Y476" s="5"/>
      <c r="AA476" s="5"/>
      <c r="AB476" s="5"/>
      <c r="AC476" s="5"/>
      <c r="AD476" s="5"/>
      <c r="AE476" s="5"/>
      <c r="AY476" s="5"/>
      <c r="AZ476" s="5"/>
      <c r="BA476" s="5"/>
      <c r="BB476" s="5"/>
      <c r="BC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  <c r="GR476" s="5"/>
      <c r="GS476" s="5"/>
      <c r="GT476" s="5"/>
      <c r="GU476" s="5"/>
      <c r="GV476" s="5"/>
      <c r="GW476" s="5"/>
      <c r="GX476" s="5"/>
      <c r="GY476" s="5"/>
      <c r="GZ476" s="5"/>
      <c r="HA476" s="5"/>
      <c r="HB476" s="5"/>
      <c r="HC476" s="5"/>
      <c r="HD476" s="5"/>
      <c r="HE476" s="5"/>
      <c r="HF476" s="5"/>
      <c r="HG476" s="5"/>
      <c r="HH476" s="5"/>
      <c r="HI476" s="5"/>
      <c r="HJ476" s="5"/>
      <c r="HK476" s="5"/>
      <c r="HL476" s="5"/>
      <c r="HM476" s="5"/>
      <c r="HN476" s="5"/>
      <c r="HO476" s="5"/>
      <c r="HP476" s="5"/>
      <c r="HQ476" s="5"/>
      <c r="HR476" s="5"/>
      <c r="HS476" s="5"/>
      <c r="HT476" s="5"/>
      <c r="HU476" s="5"/>
      <c r="HV476" s="5"/>
    </row>
    <row r="477" spans="21:230" ht="12.75">
      <c r="U477" s="5"/>
      <c r="V477" s="5"/>
      <c r="W477" s="5"/>
      <c r="X477" s="5"/>
      <c r="Y477" s="5"/>
      <c r="AA477" s="5"/>
      <c r="AB477" s="5"/>
      <c r="AC477" s="5"/>
      <c r="AD477" s="5"/>
      <c r="AE477" s="5"/>
      <c r="AY477" s="5"/>
      <c r="AZ477" s="5"/>
      <c r="BA477" s="5"/>
      <c r="BB477" s="5"/>
      <c r="BC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  <c r="GR477" s="5"/>
      <c r="GS477" s="5"/>
      <c r="GT477" s="5"/>
      <c r="GU477" s="5"/>
      <c r="GV477" s="5"/>
      <c r="GW477" s="5"/>
      <c r="GX477" s="5"/>
      <c r="GY477" s="5"/>
      <c r="GZ477" s="5"/>
      <c r="HA477" s="5"/>
      <c r="HB477" s="5"/>
      <c r="HC477" s="5"/>
      <c r="HD477" s="5"/>
      <c r="HE477" s="5"/>
      <c r="HF477" s="5"/>
      <c r="HG477" s="5"/>
      <c r="HH477" s="5"/>
      <c r="HI477" s="5"/>
      <c r="HJ477" s="5"/>
      <c r="HK477" s="5"/>
      <c r="HL477" s="5"/>
      <c r="HM477" s="5"/>
      <c r="HN477" s="5"/>
      <c r="HO477" s="5"/>
      <c r="HP477" s="5"/>
      <c r="HQ477" s="5"/>
      <c r="HR477" s="5"/>
      <c r="HS477" s="5"/>
      <c r="HT477" s="5"/>
      <c r="HU477" s="5"/>
      <c r="HV477" s="5"/>
    </row>
    <row r="478" spans="21:230" ht="12.75">
      <c r="U478" s="5"/>
      <c r="V478" s="5"/>
      <c r="W478" s="5"/>
      <c r="X478" s="5"/>
      <c r="Y478" s="5"/>
      <c r="AA478" s="5"/>
      <c r="AB478" s="5"/>
      <c r="AC478" s="5"/>
      <c r="AD478" s="5"/>
      <c r="AE478" s="5"/>
      <c r="AY478" s="5"/>
      <c r="AZ478" s="5"/>
      <c r="BA478" s="5"/>
      <c r="BB478" s="5"/>
      <c r="BC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  <c r="GR478" s="5"/>
      <c r="GS478" s="5"/>
      <c r="GT478" s="5"/>
      <c r="GU478" s="5"/>
      <c r="GV478" s="5"/>
      <c r="GW478" s="5"/>
      <c r="GX478" s="5"/>
      <c r="GY478" s="5"/>
      <c r="GZ478" s="5"/>
      <c r="HA478" s="5"/>
      <c r="HB478" s="5"/>
      <c r="HC478" s="5"/>
      <c r="HD478" s="5"/>
      <c r="HE478" s="5"/>
      <c r="HF478" s="5"/>
      <c r="HG478" s="5"/>
      <c r="HH478" s="5"/>
      <c r="HI478" s="5"/>
      <c r="HJ478" s="5"/>
      <c r="HK478" s="5"/>
      <c r="HL478" s="5"/>
      <c r="HM478" s="5"/>
      <c r="HN478" s="5"/>
      <c r="HO478" s="5"/>
      <c r="HP478" s="5"/>
      <c r="HQ478" s="5"/>
      <c r="HR478" s="5"/>
      <c r="HS478" s="5"/>
      <c r="HT478" s="5"/>
      <c r="HU478" s="5"/>
      <c r="HV478" s="5"/>
    </row>
    <row r="479" spans="21:230" ht="12.75">
      <c r="U479" s="5"/>
      <c r="V479" s="5"/>
      <c r="W479" s="5"/>
      <c r="X479" s="5"/>
      <c r="Y479" s="5"/>
      <c r="AA479" s="5"/>
      <c r="AB479" s="5"/>
      <c r="AC479" s="5"/>
      <c r="AD479" s="5"/>
      <c r="AE479" s="5"/>
      <c r="AY479" s="5"/>
      <c r="AZ479" s="5"/>
      <c r="BA479" s="5"/>
      <c r="BB479" s="5"/>
      <c r="BC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  <c r="GR479" s="5"/>
      <c r="GS479" s="5"/>
      <c r="GT479" s="5"/>
      <c r="GU479" s="5"/>
      <c r="GV479" s="5"/>
      <c r="GW479" s="5"/>
      <c r="GX479" s="5"/>
      <c r="GY479" s="5"/>
      <c r="GZ479" s="5"/>
      <c r="HA479" s="5"/>
      <c r="HB479" s="5"/>
      <c r="HC479" s="5"/>
      <c r="HD479" s="5"/>
      <c r="HE479" s="5"/>
      <c r="HF479" s="5"/>
      <c r="HG479" s="5"/>
      <c r="HH479" s="5"/>
      <c r="HI479" s="5"/>
      <c r="HJ479" s="5"/>
      <c r="HK479" s="5"/>
      <c r="HL479" s="5"/>
      <c r="HM479" s="5"/>
      <c r="HN479" s="5"/>
      <c r="HO479" s="5"/>
      <c r="HP479" s="5"/>
      <c r="HQ479" s="5"/>
      <c r="HR479" s="5"/>
      <c r="HS479" s="5"/>
      <c r="HT479" s="5"/>
      <c r="HU479" s="5"/>
      <c r="HV479" s="5"/>
    </row>
    <row r="480" spans="21:230" ht="12.75">
      <c r="U480" s="5"/>
      <c r="V480" s="5"/>
      <c r="W480" s="5"/>
      <c r="X480" s="5"/>
      <c r="Y480" s="5"/>
      <c r="AA480" s="5"/>
      <c r="AB480" s="5"/>
      <c r="AC480" s="5"/>
      <c r="AD480" s="5"/>
      <c r="AE480" s="5"/>
      <c r="AY480" s="5"/>
      <c r="AZ480" s="5"/>
      <c r="BA480" s="5"/>
      <c r="BB480" s="5"/>
      <c r="BC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  <c r="GR480" s="5"/>
      <c r="GS480" s="5"/>
      <c r="GT480" s="5"/>
      <c r="GU480" s="5"/>
      <c r="GV480" s="5"/>
      <c r="GW480" s="5"/>
      <c r="GX480" s="5"/>
      <c r="GY480" s="5"/>
      <c r="GZ480" s="5"/>
      <c r="HA480" s="5"/>
      <c r="HB480" s="5"/>
      <c r="HC480" s="5"/>
      <c r="HD480" s="5"/>
      <c r="HE480" s="5"/>
      <c r="HF480" s="5"/>
      <c r="HG480" s="5"/>
      <c r="HH480" s="5"/>
      <c r="HI480" s="5"/>
      <c r="HJ480" s="5"/>
      <c r="HK480" s="5"/>
      <c r="HL480" s="5"/>
      <c r="HM480" s="5"/>
      <c r="HN480" s="5"/>
      <c r="HO480" s="5"/>
      <c r="HP480" s="5"/>
      <c r="HQ480" s="5"/>
      <c r="HR480" s="5"/>
      <c r="HS480" s="5"/>
      <c r="HT480" s="5"/>
      <c r="HU480" s="5"/>
      <c r="HV480" s="5"/>
    </row>
    <row r="481" spans="21:230" ht="12.75">
      <c r="U481" s="5"/>
      <c r="V481" s="5"/>
      <c r="W481" s="5"/>
      <c r="X481" s="5"/>
      <c r="Y481" s="5"/>
      <c r="AA481" s="5"/>
      <c r="AB481" s="5"/>
      <c r="AC481" s="5"/>
      <c r="AD481" s="5"/>
      <c r="AE481" s="5"/>
      <c r="AY481" s="5"/>
      <c r="AZ481" s="5"/>
      <c r="BA481" s="5"/>
      <c r="BB481" s="5"/>
      <c r="BC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  <c r="GR481" s="5"/>
      <c r="GS481" s="5"/>
      <c r="GT481" s="5"/>
      <c r="GU481" s="5"/>
      <c r="GV481" s="5"/>
      <c r="GW481" s="5"/>
      <c r="GX481" s="5"/>
      <c r="GY481" s="5"/>
      <c r="GZ481" s="5"/>
      <c r="HA481" s="5"/>
      <c r="HB481" s="5"/>
      <c r="HC481" s="5"/>
      <c r="HD481" s="5"/>
      <c r="HE481" s="5"/>
      <c r="HF481" s="5"/>
      <c r="HG481" s="5"/>
      <c r="HH481" s="5"/>
      <c r="HI481" s="5"/>
      <c r="HJ481" s="5"/>
      <c r="HK481" s="5"/>
      <c r="HL481" s="5"/>
      <c r="HM481" s="5"/>
      <c r="HN481" s="5"/>
      <c r="HO481" s="5"/>
      <c r="HP481" s="5"/>
      <c r="HQ481" s="5"/>
      <c r="HR481" s="5"/>
      <c r="HS481" s="5"/>
      <c r="HT481" s="5"/>
      <c r="HU481" s="5"/>
      <c r="HV481" s="5"/>
    </row>
    <row r="482" spans="21:230" ht="12.75">
      <c r="U482" s="5"/>
      <c r="V482" s="5"/>
      <c r="W482" s="5"/>
      <c r="X482" s="5"/>
      <c r="Y482" s="5"/>
      <c r="AA482" s="5"/>
      <c r="AB482" s="5"/>
      <c r="AC482" s="5"/>
      <c r="AD482" s="5"/>
      <c r="AE482" s="5"/>
      <c r="AY482" s="5"/>
      <c r="AZ482" s="5"/>
      <c r="BA482" s="5"/>
      <c r="BB482" s="5"/>
      <c r="BC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  <c r="GR482" s="5"/>
      <c r="GS482" s="5"/>
      <c r="GT482" s="5"/>
      <c r="GU482" s="5"/>
      <c r="GV482" s="5"/>
      <c r="GW482" s="5"/>
      <c r="GX482" s="5"/>
      <c r="GY482" s="5"/>
      <c r="GZ482" s="5"/>
      <c r="HA482" s="5"/>
      <c r="HB482" s="5"/>
      <c r="HC482" s="5"/>
      <c r="HD482" s="5"/>
      <c r="HE482" s="5"/>
      <c r="HF482" s="5"/>
      <c r="HG482" s="5"/>
      <c r="HH482" s="5"/>
      <c r="HI482" s="5"/>
      <c r="HJ482" s="5"/>
      <c r="HK482" s="5"/>
      <c r="HL482" s="5"/>
      <c r="HM482" s="5"/>
      <c r="HN482" s="5"/>
      <c r="HO482" s="5"/>
      <c r="HP482" s="5"/>
      <c r="HQ482" s="5"/>
      <c r="HR482" s="5"/>
      <c r="HS482" s="5"/>
      <c r="HT482" s="5"/>
      <c r="HU482" s="5"/>
      <c r="HV482" s="5"/>
    </row>
    <row r="483" spans="21:230" ht="12.75">
      <c r="U483" s="5"/>
      <c r="V483" s="5"/>
      <c r="W483" s="5"/>
      <c r="X483" s="5"/>
      <c r="Y483" s="5"/>
      <c r="AA483" s="5"/>
      <c r="AB483" s="5"/>
      <c r="AC483" s="5"/>
      <c r="AD483" s="5"/>
      <c r="AE483" s="5"/>
      <c r="AY483" s="5"/>
      <c r="AZ483" s="5"/>
      <c r="BA483" s="5"/>
      <c r="BB483" s="5"/>
      <c r="BC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  <c r="GR483" s="5"/>
      <c r="GS483" s="5"/>
      <c r="GT483" s="5"/>
      <c r="GU483" s="5"/>
      <c r="GV483" s="5"/>
      <c r="GW483" s="5"/>
      <c r="GX483" s="5"/>
      <c r="GY483" s="5"/>
      <c r="GZ483" s="5"/>
      <c r="HA483" s="5"/>
      <c r="HB483" s="5"/>
      <c r="HC483" s="5"/>
      <c r="HD483" s="5"/>
      <c r="HE483" s="5"/>
      <c r="HF483" s="5"/>
      <c r="HG483" s="5"/>
      <c r="HH483" s="5"/>
      <c r="HI483" s="5"/>
      <c r="HJ483" s="5"/>
      <c r="HK483" s="5"/>
      <c r="HL483" s="5"/>
      <c r="HM483" s="5"/>
      <c r="HN483" s="5"/>
      <c r="HO483" s="5"/>
      <c r="HP483" s="5"/>
      <c r="HQ483" s="5"/>
      <c r="HR483" s="5"/>
      <c r="HS483" s="5"/>
      <c r="HT483" s="5"/>
      <c r="HU483" s="5"/>
      <c r="HV483" s="5"/>
    </row>
    <row r="484" spans="21:230" ht="12.75">
      <c r="U484" s="5"/>
      <c r="V484" s="5"/>
      <c r="W484" s="5"/>
      <c r="X484" s="5"/>
      <c r="Y484" s="5"/>
      <c r="AA484" s="5"/>
      <c r="AB484" s="5"/>
      <c r="AC484" s="5"/>
      <c r="AD484" s="5"/>
      <c r="AE484" s="5"/>
      <c r="AY484" s="5"/>
      <c r="AZ484" s="5"/>
      <c r="BA484" s="5"/>
      <c r="BB484" s="5"/>
      <c r="BC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  <c r="GL484" s="5"/>
      <c r="GM484" s="5"/>
      <c r="GN484" s="5"/>
      <c r="GO484" s="5"/>
      <c r="GP484" s="5"/>
      <c r="GQ484" s="5"/>
      <c r="GR484" s="5"/>
      <c r="GS484" s="5"/>
      <c r="GT484" s="5"/>
      <c r="GU484" s="5"/>
      <c r="GV484" s="5"/>
      <c r="GW484" s="5"/>
      <c r="GX484" s="5"/>
      <c r="GY484" s="5"/>
      <c r="GZ484" s="5"/>
      <c r="HA484" s="5"/>
      <c r="HB484" s="5"/>
      <c r="HC484" s="5"/>
      <c r="HD484" s="5"/>
      <c r="HE484" s="5"/>
      <c r="HF484" s="5"/>
      <c r="HG484" s="5"/>
      <c r="HH484" s="5"/>
      <c r="HI484" s="5"/>
      <c r="HJ484" s="5"/>
      <c r="HK484" s="5"/>
      <c r="HL484" s="5"/>
      <c r="HM484" s="5"/>
      <c r="HN484" s="5"/>
      <c r="HO484" s="5"/>
      <c r="HP484" s="5"/>
      <c r="HQ484" s="5"/>
      <c r="HR484" s="5"/>
      <c r="HS484" s="5"/>
      <c r="HT484" s="5"/>
      <c r="HU484" s="5"/>
      <c r="HV484" s="5"/>
    </row>
    <row r="485" spans="21:230" ht="12.75">
      <c r="U485" s="5"/>
      <c r="V485" s="5"/>
      <c r="W485" s="5"/>
      <c r="X485" s="5"/>
      <c r="Y485" s="5"/>
      <c r="AA485" s="5"/>
      <c r="AB485" s="5"/>
      <c r="AC485" s="5"/>
      <c r="AD485" s="5"/>
      <c r="AE485" s="5"/>
      <c r="AY485" s="5"/>
      <c r="AZ485" s="5"/>
      <c r="BA485" s="5"/>
      <c r="BB485" s="5"/>
      <c r="BC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  <c r="GR485" s="5"/>
      <c r="GS485" s="5"/>
      <c r="GT485" s="5"/>
      <c r="GU485" s="5"/>
      <c r="GV485" s="5"/>
      <c r="GW485" s="5"/>
      <c r="GX485" s="5"/>
      <c r="GY485" s="5"/>
      <c r="GZ485" s="5"/>
      <c r="HA485" s="5"/>
      <c r="HB485" s="5"/>
      <c r="HC485" s="5"/>
      <c r="HD485" s="5"/>
      <c r="HE485" s="5"/>
      <c r="HF485" s="5"/>
      <c r="HG485" s="5"/>
      <c r="HH485" s="5"/>
      <c r="HI485" s="5"/>
      <c r="HJ485" s="5"/>
      <c r="HK485" s="5"/>
      <c r="HL485" s="5"/>
      <c r="HM485" s="5"/>
      <c r="HN485" s="5"/>
      <c r="HO485" s="5"/>
      <c r="HP485" s="5"/>
      <c r="HQ485" s="5"/>
      <c r="HR485" s="5"/>
      <c r="HS485" s="5"/>
      <c r="HT485" s="5"/>
      <c r="HU485" s="5"/>
      <c r="HV485" s="5"/>
    </row>
    <row r="486" spans="21:230" ht="12.75">
      <c r="U486" s="5"/>
      <c r="V486" s="5"/>
      <c r="W486" s="5"/>
      <c r="X486" s="5"/>
      <c r="Y486" s="5"/>
      <c r="AA486" s="5"/>
      <c r="AB486" s="5"/>
      <c r="AC486" s="5"/>
      <c r="AD486" s="5"/>
      <c r="AE486" s="5"/>
      <c r="AY486" s="5"/>
      <c r="AZ486" s="5"/>
      <c r="BA486" s="5"/>
      <c r="BB486" s="5"/>
      <c r="BC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  <c r="GR486" s="5"/>
      <c r="GS486" s="5"/>
      <c r="GT486" s="5"/>
      <c r="GU486" s="5"/>
      <c r="GV486" s="5"/>
      <c r="GW486" s="5"/>
      <c r="GX486" s="5"/>
      <c r="GY486" s="5"/>
      <c r="GZ486" s="5"/>
      <c r="HA486" s="5"/>
      <c r="HB486" s="5"/>
      <c r="HC486" s="5"/>
      <c r="HD486" s="5"/>
      <c r="HE486" s="5"/>
      <c r="HF486" s="5"/>
      <c r="HG486" s="5"/>
      <c r="HH486" s="5"/>
      <c r="HI486" s="5"/>
      <c r="HJ486" s="5"/>
      <c r="HK486" s="5"/>
      <c r="HL486" s="5"/>
      <c r="HM486" s="5"/>
      <c r="HN486" s="5"/>
      <c r="HO486" s="5"/>
      <c r="HP486" s="5"/>
      <c r="HQ486" s="5"/>
      <c r="HR486" s="5"/>
      <c r="HS486" s="5"/>
      <c r="HT486" s="5"/>
      <c r="HU486" s="5"/>
      <c r="HV486" s="5"/>
    </row>
    <row r="487" spans="21:230" ht="12.75">
      <c r="U487" s="5"/>
      <c r="V487" s="5"/>
      <c r="W487" s="5"/>
      <c r="X487" s="5"/>
      <c r="Y487" s="5"/>
      <c r="AA487" s="5"/>
      <c r="AB487" s="5"/>
      <c r="AC487" s="5"/>
      <c r="AD487" s="5"/>
      <c r="AE487" s="5"/>
      <c r="AY487" s="5"/>
      <c r="AZ487" s="5"/>
      <c r="BA487" s="5"/>
      <c r="BB487" s="5"/>
      <c r="BC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  <c r="GR487" s="5"/>
      <c r="GS487" s="5"/>
      <c r="GT487" s="5"/>
      <c r="GU487" s="5"/>
      <c r="GV487" s="5"/>
      <c r="GW487" s="5"/>
      <c r="GX487" s="5"/>
      <c r="GY487" s="5"/>
      <c r="GZ487" s="5"/>
      <c r="HA487" s="5"/>
      <c r="HB487" s="5"/>
      <c r="HC487" s="5"/>
      <c r="HD487" s="5"/>
      <c r="HE487" s="5"/>
      <c r="HF487" s="5"/>
      <c r="HG487" s="5"/>
      <c r="HH487" s="5"/>
      <c r="HI487" s="5"/>
      <c r="HJ487" s="5"/>
      <c r="HK487" s="5"/>
      <c r="HL487" s="5"/>
      <c r="HM487" s="5"/>
      <c r="HN487" s="5"/>
      <c r="HO487" s="5"/>
      <c r="HP487" s="5"/>
      <c r="HQ487" s="5"/>
      <c r="HR487" s="5"/>
      <c r="HS487" s="5"/>
      <c r="HT487" s="5"/>
      <c r="HU487" s="5"/>
      <c r="HV487" s="5"/>
    </row>
    <row r="488" spans="21:230" ht="12.75">
      <c r="U488" s="5"/>
      <c r="V488" s="5"/>
      <c r="W488" s="5"/>
      <c r="X488" s="5"/>
      <c r="Y488" s="5"/>
      <c r="AA488" s="5"/>
      <c r="AB488" s="5"/>
      <c r="AC488" s="5"/>
      <c r="AD488" s="5"/>
      <c r="AE488" s="5"/>
      <c r="AY488" s="5"/>
      <c r="AZ488" s="5"/>
      <c r="BA488" s="5"/>
      <c r="BB488" s="5"/>
      <c r="BC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  <c r="GF488" s="5"/>
      <c r="GG488" s="5"/>
      <c r="GH488" s="5"/>
      <c r="GI488" s="5"/>
      <c r="GJ488" s="5"/>
      <c r="GK488" s="5"/>
      <c r="GL488" s="5"/>
      <c r="GM488" s="5"/>
      <c r="GN488" s="5"/>
      <c r="GO488" s="5"/>
      <c r="GP488" s="5"/>
      <c r="GQ488" s="5"/>
      <c r="GR488" s="5"/>
      <c r="GS488" s="5"/>
      <c r="GT488" s="5"/>
      <c r="GU488" s="5"/>
      <c r="GV488" s="5"/>
      <c r="GW488" s="5"/>
      <c r="GX488" s="5"/>
      <c r="GY488" s="5"/>
      <c r="GZ488" s="5"/>
      <c r="HA488" s="5"/>
      <c r="HB488" s="5"/>
      <c r="HC488" s="5"/>
      <c r="HD488" s="5"/>
      <c r="HE488" s="5"/>
      <c r="HF488" s="5"/>
      <c r="HG488" s="5"/>
      <c r="HH488" s="5"/>
      <c r="HI488" s="5"/>
      <c r="HJ488" s="5"/>
      <c r="HK488" s="5"/>
      <c r="HL488" s="5"/>
      <c r="HM488" s="5"/>
      <c r="HN488" s="5"/>
      <c r="HO488" s="5"/>
      <c r="HP488" s="5"/>
      <c r="HQ488" s="5"/>
      <c r="HR488" s="5"/>
      <c r="HS488" s="5"/>
      <c r="HT488" s="5"/>
      <c r="HU488" s="5"/>
      <c r="HV488" s="5"/>
    </row>
    <row r="489" spans="21:230" ht="12.75">
      <c r="U489" s="5"/>
      <c r="V489" s="5"/>
      <c r="W489" s="5"/>
      <c r="X489" s="5"/>
      <c r="Y489" s="5"/>
      <c r="AA489" s="5"/>
      <c r="AB489" s="5"/>
      <c r="AC489" s="5"/>
      <c r="AD489" s="5"/>
      <c r="AE489" s="5"/>
      <c r="AY489" s="5"/>
      <c r="AZ489" s="5"/>
      <c r="BA489" s="5"/>
      <c r="BB489" s="5"/>
      <c r="BC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  <c r="GL489" s="5"/>
      <c r="GM489" s="5"/>
      <c r="GN489" s="5"/>
      <c r="GO489" s="5"/>
      <c r="GP489" s="5"/>
      <c r="GQ489" s="5"/>
      <c r="GR489" s="5"/>
      <c r="GS489" s="5"/>
      <c r="GT489" s="5"/>
      <c r="GU489" s="5"/>
      <c r="GV489" s="5"/>
      <c r="GW489" s="5"/>
      <c r="GX489" s="5"/>
      <c r="GY489" s="5"/>
      <c r="GZ489" s="5"/>
      <c r="HA489" s="5"/>
      <c r="HB489" s="5"/>
      <c r="HC489" s="5"/>
      <c r="HD489" s="5"/>
      <c r="HE489" s="5"/>
      <c r="HF489" s="5"/>
      <c r="HG489" s="5"/>
      <c r="HH489" s="5"/>
      <c r="HI489" s="5"/>
      <c r="HJ489" s="5"/>
      <c r="HK489" s="5"/>
      <c r="HL489" s="5"/>
      <c r="HM489" s="5"/>
      <c r="HN489" s="5"/>
      <c r="HO489" s="5"/>
      <c r="HP489" s="5"/>
      <c r="HQ489" s="5"/>
      <c r="HR489" s="5"/>
      <c r="HS489" s="5"/>
      <c r="HT489" s="5"/>
      <c r="HU489" s="5"/>
      <c r="HV489" s="5"/>
    </row>
    <row r="490" spans="21:230" ht="12.75">
      <c r="U490" s="5"/>
      <c r="V490" s="5"/>
      <c r="W490" s="5"/>
      <c r="X490" s="5"/>
      <c r="Y490" s="5"/>
      <c r="AA490" s="5"/>
      <c r="AB490" s="5"/>
      <c r="AC490" s="5"/>
      <c r="AD490" s="5"/>
      <c r="AE490" s="5"/>
      <c r="AY490" s="5"/>
      <c r="AZ490" s="5"/>
      <c r="BA490" s="5"/>
      <c r="BB490" s="5"/>
      <c r="BC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  <c r="GL490" s="5"/>
      <c r="GM490" s="5"/>
      <c r="GN490" s="5"/>
      <c r="GO490" s="5"/>
      <c r="GP490" s="5"/>
      <c r="GQ490" s="5"/>
      <c r="GR490" s="5"/>
      <c r="GS490" s="5"/>
      <c r="GT490" s="5"/>
      <c r="GU490" s="5"/>
      <c r="GV490" s="5"/>
      <c r="GW490" s="5"/>
      <c r="GX490" s="5"/>
      <c r="GY490" s="5"/>
      <c r="GZ490" s="5"/>
      <c r="HA490" s="5"/>
      <c r="HB490" s="5"/>
      <c r="HC490" s="5"/>
      <c r="HD490" s="5"/>
      <c r="HE490" s="5"/>
      <c r="HF490" s="5"/>
      <c r="HG490" s="5"/>
      <c r="HH490" s="5"/>
      <c r="HI490" s="5"/>
      <c r="HJ490" s="5"/>
      <c r="HK490" s="5"/>
      <c r="HL490" s="5"/>
      <c r="HM490" s="5"/>
      <c r="HN490" s="5"/>
      <c r="HO490" s="5"/>
      <c r="HP490" s="5"/>
      <c r="HQ490" s="5"/>
      <c r="HR490" s="5"/>
      <c r="HS490" s="5"/>
      <c r="HT490" s="5"/>
      <c r="HU490" s="5"/>
      <c r="HV490" s="5"/>
    </row>
    <row r="491" spans="21:230" ht="12.75">
      <c r="U491" s="5"/>
      <c r="V491" s="5"/>
      <c r="W491" s="5"/>
      <c r="X491" s="5"/>
      <c r="Y491" s="5"/>
      <c r="AA491" s="5"/>
      <c r="AB491" s="5"/>
      <c r="AC491" s="5"/>
      <c r="AD491" s="5"/>
      <c r="AE491" s="5"/>
      <c r="AY491" s="5"/>
      <c r="AZ491" s="5"/>
      <c r="BA491" s="5"/>
      <c r="BB491" s="5"/>
      <c r="BC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  <c r="GL491" s="5"/>
      <c r="GM491" s="5"/>
      <c r="GN491" s="5"/>
      <c r="GO491" s="5"/>
      <c r="GP491" s="5"/>
      <c r="GQ491" s="5"/>
      <c r="GR491" s="5"/>
      <c r="GS491" s="5"/>
      <c r="GT491" s="5"/>
      <c r="GU491" s="5"/>
      <c r="GV491" s="5"/>
      <c r="GW491" s="5"/>
      <c r="GX491" s="5"/>
      <c r="GY491" s="5"/>
      <c r="GZ491" s="5"/>
      <c r="HA491" s="5"/>
      <c r="HB491" s="5"/>
      <c r="HC491" s="5"/>
      <c r="HD491" s="5"/>
      <c r="HE491" s="5"/>
      <c r="HF491" s="5"/>
      <c r="HG491" s="5"/>
      <c r="HH491" s="5"/>
      <c r="HI491" s="5"/>
      <c r="HJ491" s="5"/>
      <c r="HK491" s="5"/>
      <c r="HL491" s="5"/>
      <c r="HM491" s="5"/>
      <c r="HN491" s="5"/>
      <c r="HO491" s="5"/>
      <c r="HP491" s="5"/>
      <c r="HQ491" s="5"/>
      <c r="HR491" s="5"/>
      <c r="HS491" s="5"/>
      <c r="HT491" s="5"/>
      <c r="HU491" s="5"/>
      <c r="HV491" s="5"/>
    </row>
    <row r="492" spans="21:230" ht="12.75">
      <c r="U492" s="5"/>
      <c r="V492" s="5"/>
      <c r="W492" s="5"/>
      <c r="X492" s="5"/>
      <c r="Y492" s="5"/>
      <c r="AA492" s="5"/>
      <c r="AB492" s="5"/>
      <c r="AC492" s="5"/>
      <c r="AD492" s="5"/>
      <c r="AE492" s="5"/>
      <c r="AY492" s="5"/>
      <c r="AZ492" s="5"/>
      <c r="BA492" s="5"/>
      <c r="BB492" s="5"/>
      <c r="BC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  <c r="GL492" s="5"/>
      <c r="GM492" s="5"/>
      <c r="GN492" s="5"/>
      <c r="GO492" s="5"/>
      <c r="GP492" s="5"/>
      <c r="GQ492" s="5"/>
      <c r="GR492" s="5"/>
      <c r="GS492" s="5"/>
      <c r="GT492" s="5"/>
      <c r="GU492" s="5"/>
      <c r="GV492" s="5"/>
      <c r="GW492" s="5"/>
      <c r="GX492" s="5"/>
      <c r="GY492" s="5"/>
      <c r="GZ492" s="5"/>
      <c r="HA492" s="5"/>
      <c r="HB492" s="5"/>
      <c r="HC492" s="5"/>
      <c r="HD492" s="5"/>
      <c r="HE492" s="5"/>
      <c r="HF492" s="5"/>
      <c r="HG492" s="5"/>
      <c r="HH492" s="5"/>
      <c r="HI492" s="5"/>
      <c r="HJ492" s="5"/>
      <c r="HK492" s="5"/>
      <c r="HL492" s="5"/>
      <c r="HM492" s="5"/>
      <c r="HN492" s="5"/>
      <c r="HO492" s="5"/>
      <c r="HP492" s="5"/>
      <c r="HQ492" s="5"/>
      <c r="HR492" s="5"/>
      <c r="HS492" s="5"/>
      <c r="HT492" s="5"/>
      <c r="HU492" s="5"/>
      <c r="HV492" s="5"/>
    </row>
    <row r="493" spans="21:230" ht="12.75">
      <c r="U493" s="5"/>
      <c r="V493" s="5"/>
      <c r="W493" s="5"/>
      <c r="X493" s="5"/>
      <c r="Y493" s="5"/>
      <c r="AA493" s="5"/>
      <c r="AB493" s="5"/>
      <c r="AC493" s="5"/>
      <c r="AD493" s="5"/>
      <c r="AE493" s="5"/>
      <c r="AY493" s="5"/>
      <c r="AZ493" s="5"/>
      <c r="BA493" s="5"/>
      <c r="BB493" s="5"/>
      <c r="BC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  <c r="GL493" s="5"/>
      <c r="GM493" s="5"/>
      <c r="GN493" s="5"/>
      <c r="GO493" s="5"/>
      <c r="GP493" s="5"/>
      <c r="GQ493" s="5"/>
      <c r="GR493" s="5"/>
      <c r="GS493" s="5"/>
      <c r="GT493" s="5"/>
      <c r="GU493" s="5"/>
      <c r="GV493" s="5"/>
      <c r="GW493" s="5"/>
      <c r="GX493" s="5"/>
      <c r="GY493" s="5"/>
      <c r="GZ493" s="5"/>
      <c r="HA493" s="5"/>
      <c r="HB493" s="5"/>
      <c r="HC493" s="5"/>
      <c r="HD493" s="5"/>
      <c r="HE493" s="5"/>
      <c r="HF493" s="5"/>
      <c r="HG493" s="5"/>
      <c r="HH493" s="5"/>
      <c r="HI493" s="5"/>
      <c r="HJ493" s="5"/>
      <c r="HK493" s="5"/>
      <c r="HL493" s="5"/>
      <c r="HM493" s="5"/>
      <c r="HN493" s="5"/>
      <c r="HO493" s="5"/>
      <c r="HP493" s="5"/>
      <c r="HQ493" s="5"/>
      <c r="HR493" s="5"/>
      <c r="HS493" s="5"/>
      <c r="HT493" s="5"/>
      <c r="HU493" s="5"/>
      <c r="HV493" s="5"/>
    </row>
    <row r="494" spans="21:230" ht="12.75">
      <c r="U494" s="5"/>
      <c r="V494" s="5"/>
      <c r="W494" s="5"/>
      <c r="X494" s="5"/>
      <c r="Y494" s="5"/>
      <c r="AA494" s="5"/>
      <c r="AB494" s="5"/>
      <c r="AC494" s="5"/>
      <c r="AD494" s="5"/>
      <c r="AE494" s="5"/>
      <c r="AY494" s="5"/>
      <c r="AZ494" s="5"/>
      <c r="BA494" s="5"/>
      <c r="BB494" s="5"/>
      <c r="BC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  <c r="GF494" s="5"/>
      <c r="GG494" s="5"/>
      <c r="GH494" s="5"/>
      <c r="GI494" s="5"/>
      <c r="GJ494" s="5"/>
      <c r="GK494" s="5"/>
      <c r="GL494" s="5"/>
      <c r="GM494" s="5"/>
      <c r="GN494" s="5"/>
      <c r="GO494" s="5"/>
      <c r="GP494" s="5"/>
      <c r="GQ494" s="5"/>
      <c r="GR494" s="5"/>
      <c r="GS494" s="5"/>
      <c r="GT494" s="5"/>
      <c r="GU494" s="5"/>
      <c r="GV494" s="5"/>
      <c r="GW494" s="5"/>
      <c r="GX494" s="5"/>
      <c r="GY494" s="5"/>
      <c r="GZ494" s="5"/>
      <c r="HA494" s="5"/>
      <c r="HB494" s="5"/>
      <c r="HC494" s="5"/>
      <c r="HD494" s="5"/>
      <c r="HE494" s="5"/>
      <c r="HF494" s="5"/>
      <c r="HG494" s="5"/>
      <c r="HH494" s="5"/>
      <c r="HI494" s="5"/>
      <c r="HJ494" s="5"/>
      <c r="HK494" s="5"/>
      <c r="HL494" s="5"/>
      <c r="HM494" s="5"/>
      <c r="HN494" s="5"/>
      <c r="HO494" s="5"/>
      <c r="HP494" s="5"/>
      <c r="HQ494" s="5"/>
      <c r="HR494" s="5"/>
      <c r="HS494" s="5"/>
      <c r="HT494" s="5"/>
      <c r="HU494" s="5"/>
      <c r="HV494" s="5"/>
    </row>
    <row r="495" spans="21:230" ht="12.75">
      <c r="U495" s="5"/>
      <c r="V495" s="5"/>
      <c r="W495" s="5"/>
      <c r="X495" s="5"/>
      <c r="Y495" s="5"/>
      <c r="AA495" s="5"/>
      <c r="AB495" s="5"/>
      <c r="AC495" s="5"/>
      <c r="AD495" s="5"/>
      <c r="AE495" s="5"/>
      <c r="AY495" s="5"/>
      <c r="AZ495" s="5"/>
      <c r="BA495" s="5"/>
      <c r="BB495" s="5"/>
      <c r="BC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  <c r="GL495" s="5"/>
      <c r="GM495" s="5"/>
      <c r="GN495" s="5"/>
      <c r="GO495" s="5"/>
      <c r="GP495" s="5"/>
      <c r="GQ495" s="5"/>
      <c r="GR495" s="5"/>
      <c r="GS495" s="5"/>
      <c r="GT495" s="5"/>
      <c r="GU495" s="5"/>
      <c r="GV495" s="5"/>
      <c r="GW495" s="5"/>
      <c r="GX495" s="5"/>
      <c r="GY495" s="5"/>
      <c r="GZ495" s="5"/>
      <c r="HA495" s="5"/>
      <c r="HB495" s="5"/>
      <c r="HC495" s="5"/>
      <c r="HD495" s="5"/>
      <c r="HE495" s="5"/>
      <c r="HF495" s="5"/>
      <c r="HG495" s="5"/>
      <c r="HH495" s="5"/>
      <c r="HI495" s="5"/>
      <c r="HJ495" s="5"/>
      <c r="HK495" s="5"/>
      <c r="HL495" s="5"/>
      <c r="HM495" s="5"/>
      <c r="HN495" s="5"/>
      <c r="HO495" s="5"/>
      <c r="HP495" s="5"/>
      <c r="HQ495" s="5"/>
      <c r="HR495" s="5"/>
      <c r="HS495" s="5"/>
      <c r="HT495" s="5"/>
      <c r="HU495" s="5"/>
      <c r="HV495" s="5"/>
    </row>
    <row r="496" spans="21:230" ht="12.75">
      <c r="U496" s="5"/>
      <c r="V496" s="5"/>
      <c r="W496" s="5"/>
      <c r="X496" s="5"/>
      <c r="Y496" s="5"/>
      <c r="AA496" s="5"/>
      <c r="AB496" s="5"/>
      <c r="AC496" s="5"/>
      <c r="AD496" s="5"/>
      <c r="AE496" s="5"/>
      <c r="AY496" s="5"/>
      <c r="AZ496" s="5"/>
      <c r="BA496" s="5"/>
      <c r="BB496" s="5"/>
      <c r="BC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  <c r="GL496" s="5"/>
      <c r="GM496" s="5"/>
      <c r="GN496" s="5"/>
      <c r="GO496" s="5"/>
      <c r="GP496" s="5"/>
      <c r="GQ496" s="5"/>
      <c r="GR496" s="5"/>
      <c r="GS496" s="5"/>
      <c r="GT496" s="5"/>
      <c r="GU496" s="5"/>
      <c r="GV496" s="5"/>
      <c r="GW496" s="5"/>
      <c r="GX496" s="5"/>
      <c r="GY496" s="5"/>
      <c r="GZ496" s="5"/>
      <c r="HA496" s="5"/>
      <c r="HB496" s="5"/>
      <c r="HC496" s="5"/>
      <c r="HD496" s="5"/>
      <c r="HE496" s="5"/>
      <c r="HF496" s="5"/>
      <c r="HG496" s="5"/>
      <c r="HH496" s="5"/>
      <c r="HI496" s="5"/>
      <c r="HJ496" s="5"/>
      <c r="HK496" s="5"/>
      <c r="HL496" s="5"/>
      <c r="HM496" s="5"/>
      <c r="HN496" s="5"/>
      <c r="HO496" s="5"/>
      <c r="HP496" s="5"/>
      <c r="HQ496" s="5"/>
      <c r="HR496" s="5"/>
      <c r="HS496" s="5"/>
      <c r="HT496" s="5"/>
      <c r="HU496" s="5"/>
      <c r="HV496" s="5"/>
    </row>
    <row r="497" spans="21:230" ht="12.75">
      <c r="U497" s="5"/>
      <c r="V497" s="5"/>
      <c r="W497" s="5"/>
      <c r="X497" s="5"/>
      <c r="Y497" s="5"/>
      <c r="AA497" s="5"/>
      <c r="AB497" s="5"/>
      <c r="AC497" s="5"/>
      <c r="AD497" s="5"/>
      <c r="AE497" s="5"/>
      <c r="AY497" s="5"/>
      <c r="AZ497" s="5"/>
      <c r="BA497" s="5"/>
      <c r="BB497" s="5"/>
      <c r="BC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  <c r="GB497" s="5"/>
      <c r="GC497" s="5"/>
      <c r="GD497" s="5"/>
      <c r="GE497" s="5"/>
      <c r="GF497" s="5"/>
      <c r="GG497" s="5"/>
      <c r="GH497" s="5"/>
      <c r="GI497" s="5"/>
      <c r="GJ497" s="5"/>
      <c r="GK497" s="5"/>
      <c r="GL497" s="5"/>
      <c r="GM497" s="5"/>
      <c r="GN497" s="5"/>
      <c r="GO497" s="5"/>
      <c r="GP497" s="5"/>
      <c r="GQ497" s="5"/>
      <c r="GR497" s="5"/>
      <c r="GS497" s="5"/>
      <c r="GT497" s="5"/>
      <c r="GU497" s="5"/>
      <c r="GV497" s="5"/>
      <c r="GW497" s="5"/>
      <c r="GX497" s="5"/>
      <c r="GY497" s="5"/>
      <c r="GZ497" s="5"/>
      <c r="HA497" s="5"/>
      <c r="HB497" s="5"/>
      <c r="HC497" s="5"/>
      <c r="HD497" s="5"/>
      <c r="HE497" s="5"/>
      <c r="HF497" s="5"/>
      <c r="HG497" s="5"/>
      <c r="HH497" s="5"/>
      <c r="HI497" s="5"/>
      <c r="HJ497" s="5"/>
      <c r="HK497" s="5"/>
      <c r="HL497" s="5"/>
      <c r="HM497" s="5"/>
      <c r="HN497" s="5"/>
      <c r="HO497" s="5"/>
      <c r="HP497" s="5"/>
      <c r="HQ497" s="5"/>
      <c r="HR497" s="5"/>
      <c r="HS497" s="5"/>
      <c r="HT497" s="5"/>
      <c r="HU497" s="5"/>
      <c r="HV497" s="5"/>
    </row>
    <row r="498" spans="21:230" ht="12.75">
      <c r="U498" s="5"/>
      <c r="V498" s="5"/>
      <c r="W498" s="5"/>
      <c r="X498" s="5"/>
      <c r="Y498" s="5"/>
      <c r="AA498" s="5"/>
      <c r="AB498" s="5"/>
      <c r="AC498" s="5"/>
      <c r="AD498" s="5"/>
      <c r="AE498" s="5"/>
      <c r="AY498" s="5"/>
      <c r="AZ498" s="5"/>
      <c r="BA498" s="5"/>
      <c r="BB498" s="5"/>
      <c r="BC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  <c r="GB498" s="5"/>
      <c r="GC498" s="5"/>
      <c r="GD498" s="5"/>
      <c r="GE498" s="5"/>
      <c r="GF498" s="5"/>
      <c r="GG498" s="5"/>
      <c r="GH498" s="5"/>
      <c r="GI498" s="5"/>
      <c r="GJ498" s="5"/>
      <c r="GK498" s="5"/>
      <c r="GL498" s="5"/>
      <c r="GM498" s="5"/>
      <c r="GN498" s="5"/>
      <c r="GO498" s="5"/>
      <c r="GP498" s="5"/>
      <c r="GQ498" s="5"/>
      <c r="GR498" s="5"/>
      <c r="GS498" s="5"/>
      <c r="GT498" s="5"/>
      <c r="GU498" s="5"/>
      <c r="GV498" s="5"/>
      <c r="GW498" s="5"/>
      <c r="GX498" s="5"/>
      <c r="GY498" s="5"/>
      <c r="GZ498" s="5"/>
      <c r="HA498" s="5"/>
      <c r="HB498" s="5"/>
      <c r="HC498" s="5"/>
      <c r="HD498" s="5"/>
      <c r="HE498" s="5"/>
      <c r="HF498" s="5"/>
      <c r="HG498" s="5"/>
      <c r="HH498" s="5"/>
      <c r="HI498" s="5"/>
      <c r="HJ498" s="5"/>
      <c r="HK498" s="5"/>
      <c r="HL498" s="5"/>
      <c r="HM498" s="5"/>
      <c r="HN498" s="5"/>
      <c r="HO498" s="5"/>
      <c r="HP498" s="5"/>
      <c r="HQ498" s="5"/>
      <c r="HR498" s="5"/>
      <c r="HS498" s="5"/>
      <c r="HT498" s="5"/>
      <c r="HU498" s="5"/>
      <c r="HV498" s="5"/>
    </row>
    <row r="499" spans="21:230" ht="12.75">
      <c r="U499" s="5"/>
      <c r="V499" s="5"/>
      <c r="W499" s="5"/>
      <c r="X499" s="5"/>
      <c r="Y499" s="5"/>
      <c r="AA499" s="5"/>
      <c r="AB499" s="5"/>
      <c r="AC499" s="5"/>
      <c r="AD499" s="5"/>
      <c r="AE499" s="5"/>
      <c r="AY499" s="5"/>
      <c r="AZ499" s="5"/>
      <c r="BA499" s="5"/>
      <c r="BB499" s="5"/>
      <c r="BC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  <c r="GB499" s="5"/>
      <c r="GC499" s="5"/>
      <c r="GD499" s="5"/>
      <c r="GE499" s="5"/>
      <c r="GF499" s="5"/>
      <c r="GG499" s="5"/>
      <c r="GH499" s="5"/>
      <c r="GI499" s="5"/>
      <c r="GJ499" s="5"/>
      <c r="GK499" s="5"/>
      <c r="GL499" s="5"/>
      <c r="GM499" s="5"/>
      <c r="GN499" s="5"/>
      <c r="GO499" s="5"/>
      <c r="GP499" s="5"/>
      <c r="GQ499" s="5"/>
      <c r="GR499" s="5"/>
      <c r="GS499" s="5"/>
      <c r="GT499" s="5"/>
      <c r="GU499" s="5"/>
      <c r="GV499" s="5"/>
      <c r="GW499" s="5"/>
      <c r="GX499" s="5"/>
      <c r="GY499" s="5"/>
      <c r="GZ499" s="5"/>
      <c r="HA499" s="5"/>
      <c r="HB499" s="5"/>
      <c r="HC499" s="5"/>
      <c r="HD499" s="5"/>
      <c r="HE499" s="5"/>
      <c r="HF499" s="5"/>
      <c r="HG499" s="5"/>
      <c r="HH499" s="5"/>
      <c r="HI499" s="5"/>
      <c r="HJ499" s="5"/>
      <c r="HK499" s="5"/>
      <c r="HL499" s="5"/>
      <c r="HM499" s="5"/>
      <c r="HN499" s="5"/>
      <c r="HO499" s="5"/>
      <c r="HP499" s="5"/>
      <c r="HQ499" s="5"/>
      <c r="HR499" s="5"/>
      <c r="HS499" s="5"/>
      <c r="HT499" s="5"/>
      <c r="HU499" s="5"/>
      <c r="HV499" s="5"/>
    </row>
    <row r="500" spans="21:230" ht="12.75">
      <c r="U500" s="5"/>
      <c r="V500" s="5"/>
      <c r="W500" s="5"/>
      <c r="X500" s="5"/>
      <c r="Y500" s="5"/>
      <c r="AA500" s="5"/>
      <c r="AB500" s="5"/>
      <c r="AC500" s="5"/>
      <c r="AD500" s="5"/>
      <c r="AE500" s="5"/>
      <c r="AY500" s="5"/>
      <c r="AZ500" s="5"/>
      <c r="BA500" s="5"/>
      <c r="BB500" s="5"/>
      <c r="BC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  <c r="GL500" s="5"/>
      <c r="GM500" s="5"/>
      <c r="GN500" s="5"/>
      <c r="GO500" s="5"/>
      <c r="GP500" s="5"/>
      <c r="GQ500" s="5"/>
      <c r="GR500" s="5"/>
      <c r="GS500" s="5"/>
      <c r="GT500" s="5"/>
      <c r="GU500" s="5"/>
      <c r="GV500" s="5"/>
      <c r="GW500" s="5"/>
      <c r="GX500" s="5"/>
      <c r="GY500" s="5"/>
      <c r="GZ500" s="5"/>
      <c r="HA500" s="5"/>
      <c r="HB500" s="5"/>
      <c r="HC500" s="5"/>
      <c r="HD500" s="5"/>
      <c r="HE500" s="5"/>
      <c r="HF500" s="5"/>
      <c r="HG500" s="5"/>
      <c r="HH500" s="5"/>
      <c r="HI500" s="5"/>
      <c r="HJ500" s="5"/>
      <c r="HK500" s="5"/>
      <c r="HL500" s="5"/>
      <c r="HM500" s="5"/>
      <c r="HN500" s="5"/>
      <c r="HO500" s="5"/>
      <c r="HP500" s="5"/>
      <c r="HQ500" s="5"/>
      <c r="HR500" s="5"/>
      <c r="HS500" s="5"/>
      <c r="HT500" s="5"/>
      <c r="HU500" s="5"/>
      <c r="HV500" s="5"/>
    </row>
    <row r="501" spans="21:230" ht="12.75">
      <c r="U501" s="5"/>
      <c r="V501" s="5"/>
      <c r="W501" s="5"/>
      <c r="X501" s="5"/>
      <c r="Y501" s="5"/>
      <c r="AA501" s="5"/>
      <c r="AB501" s="5"/>
      <c r="AC501" s="5"/>
      <c r="AD501" s="5"/>
      <c r="AE501" s="5"/>
      <c r="AY501" s="5"/>
      <c r="AZ501" s="5"/>
      <c r="BA501" s="5"/>
      <c r="BB501" s="5"/>
      <c r="BC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  <c r="GB501" s="5"/>
      <c r="GC501" s="5"/>
      <c r="GD501" s="5"/>
      <c r="GE501" s="5"/>
      <c r="GF501" s="5"/>
      <c r="GG501" s="5"/>
      <c r="GH501" s="5"/>
      <c r="GI501" s="5"/>
      <c r="GJ501" s="5"/>
      <c r="GK501" s="5"/>
      <c r="GL501" s="5"/>
      <c r="GM501" s="5"/>
      <c r="GN501" s="5"/>
      <c r="GO501" s="5"/>
      <c r="GP501" s="5"/>
      <c r="GQ501" s="5"/>
      <c r="GR501" s="5"/>
      <c r="GS501" s="5"/>
      <c r="GT501" s="5"/>
      <c r="GU501" s="5"/>
      <c r="GV501" s="5"/>
      <c r="GW501" s="5"/>
      <c r="GX501" s="5"/>
      <c r="GY501" s="5"/>
      <c r="GZ501" s="5"/>
      <c r="HA501" s="5"/>
      <c r="HB501" s="5"/>
      <c r="HC501" s="5"/>
      <c r="HD501" s="5"/>
      <c r="HE501" s="5"/>
      <c r="HF501" s="5"/>
      <c r="HG501" s="5"/>
      <c r="HH501" s="5"/>
      <c r="HI501" s="5"/>
      <c r="HJ501" s="5"/>
      <c r="HK501" s="5"/>
      <c r="HL501" s="5"/>
      <c r="HM501" s="5"/>
      <c r="HN501" s="5"/>
      <c r="HO501" s="5"/>
      <c r="HP501" s="5"/>
      <c r="HQ501" s="5"/>
      <c r="HR501" s="5"/>
      <c r="HS501" s="5"/>
      <c r="HT501" s="5"/>
      <c r="HU501" s="5"/>
      <c r="HV501" s="5"/>
    </row>
    <row r="502" spans="21:230" ht="12.75">
      <c r="U502" s="5"/>
      <c r="V502" s="5"/>
      <c r="W502" s="5"/>
      <c r="X502" s="5"/>
      <c r="Y502" s="5"/>
      <c r="AA502" s="5"/>
      <c r="AB502" s="5"/>
      <c r="AC502" s="5"/>
      <c r="AD502" s="5"/>
      <c r="AE502" s="5"/>
      <c r="AY502" s="5"/>
      <c r="AZ502" s="5"/>
      <c r="BA502" s="5"/>
      <c r="BB502" s="5"/>
      <c r="BC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  <c r="GB502" s="5"/>
      <c r="GC502" s="5"/>
      <c r="GD502" s="5"/>
      <c r="GE502" s="5"/>
      <c r="GF502" s="5"/>
      <c r="GG502" s="5"/>
      <c r="GH502" s="5"/>
      <c r="GI502" s="5"/>
      <c r="GJ502" s="5"/>
      <c r="GK502" s="5"/>
      <c r="GL502" s="5"/>
      <c r="GM502" s="5"/>
      <c r="GN502" s="5"/>
      <c r="GO502" s="5"/>
      <c r="GP502" s="5"/>
      <c r="GQ502" s="5"/>
      <c r="GR502" s="5"/>
      <c r="GS502" s="5"/>
      <c r="GT502" s="5"/>
      <c r="GU502" s="5"/>
      <c r="GV502" s="5"/>
      <c r="GW502" s="5"/>
      <c r="GX502" s="5"/>
      <c r="GY502" s="5"/>
      <c r="GZ502" s="5"/>
      <c r="HA502" s="5"/>
      <c r="HB502" s="5"/>
      <c r="HC502" s="5"/>
      <c r="HD502" s="5"/>
      <c r="HE502" s="5"/>
      <c r="HF502" s="5"/>
      <c r="HG502" s="5"/>
      <c r="HH502" s="5"/>
      <c r="HI502" s="5"/>
      <c r="HJ502" s="5"/>
      <c r="HK502" s="5"/>
      <c r="HL502" s="5"/>
      <c r="HM502" s="5"/>
      <c r="HN502" s="5"/>
      <c r="HO502" s="5"/>
      <c r="HP502" s="5"/>
      <c r="HQ502" s="5"/>
      <c r="HR502" s="5"/>
      <c r="HS502" s="5"/>
      <c r="HT502" s="5"/>
      <c r="HU502" s="5"/>
      <c r="HV502" s="5"/>
    </row>
    <row r="503" spans="21:230" ht="12.75">
      <c r="U503" s="5"/>
      <c r="V503" s="5"/>
      <c r="W503" s="5"/>
      <c r="X503" s="5"/>
      <c r="Y503" s="5"/>
      <c r="AA503" s="5"/>
      <c r="AB503" s="5"/>
      <c r="AC503" s="5"/>
      <c r="AD503" s="5"/>
      <c r="AE503" s="5"/>
      <c r="AY503" s="5"/>
      <c r="AZ503" s="5"/>
      <c r="BA503" s="5"/>
      <c r="BB503" s="5"/>
      <c r="BC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  <c r="GF503" s="5"/>
      <c r="GG503" s="5"/>
      <c r="GH503" s="5"/>
      <c r="GI503" s="5"/>
      <c r="GJ503" s="5"/>
      <c r="GK503" s="5"/>
      <c r="GL503" s="5"/>
      <c r="GM503" s="5"/>
      <c r="GN503" s="5"/>
      <c r="GO503" s="5"/>
      <c r="GP503" s="5"/>
      <c r="GQ503" s="5"/>
      <c r="GR503" s="5"/>
      <c r="GS503" s="5"/>
      <c r="GT503" s="5"/>
      <c r="GU503" s="5"/>
      <c r="GV503" s="5"/>
      <c r="GW503" s="5"/>
      <c r="GX503" s="5"/>
      <c r="GY503" s="5"/>
      <c r="GZ503" s="5"/>
      <c r="HA503" s="5"/>
      <c r="HB503" s="5"/>
      <c r="HC503" s="5"/>
      <c r="HD503" s="5"/>
      <c r="HE503" s="5"/>
      <c r="HF503" s="5"/>
      <c r="HG503" s="5"/>
      <c r="HH503" s="5"/>
      <c r="HI503" s="5"/>
      <c r="HJ503" s="5"/>
      <c r="HK503" s="5"/>
      <c r="HL503" s="5"/>
      <c r="HM503" s="5"/>
      <c r="HN503" s="5"/>
      <c r="HO503" s="5"/>
      <c r="HP503" s="5"/>
      <c r="HQ503" s="5"/>
      <c r="HR503" s="5"/>
      <c r="HS503" s="5"/>
      <c r="HT503" s="5"/>
      <c r="HU503" s="5"/>
      <c r="HV503" s="5"/>
    </row>
    <row r="504" spans="21:230" ht="12.75">
      <c r="U504" s="5"/>
      <c r="V504" s="5"/>
      <c r="W504" s="5"/>
      <c r="X504" s="5"/>
      <c r="Y504" s="5"/>
      <c r="AA504" s="5"/>
      <c r="AB504" s="5"/>
      <c r="AC504" s="5"/>
      <c r="AD504" s="5"/>
      <c r="AE504" s="5"/>
      <c r="AY504" s="5"/>
      <c r="AZ504" s="5"/>
      <c r="BA504" s="5"/>
      <c r="BB504" s="5"/>
      <c r="BC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  <c r="GL504" s="5"/>
      <c r="GM504" s="5"/>
      <c r="GN504" s="5"/>
      <c r="GO504" s="5"/>
      <c r="GP504" s="5"/>
      <c r="GQ504" s="5"/>
      <c r="GR504" s="5"/>
      <c r="GS504" s="5"/>
      <c r="GT504" s="5"/>
      <c r="GU504" s="5"/>
      <c r="GV504" s="5"/>
      <c r="GW504" s="5"/>
      <c r="GX504" s="5"/>
      <c r="GY504" s="5"/>
      <c r="GZ504" s="5"/>
      <c r="HA504" s="5"/>
      <c r="HB504" s="5"/>
      <c r="HC504" s="5"/>
      <c r="HD504" s="5"/>
      <c r="HE504" s="5"/>
      <c r="HF504" s="5"/>
      <c r="HG504" s="5"/>
      <c r="HH504" s="5"/>
      <c r="HI504" s="5"/>
      <c r="HJ504" s="5"/>
      <c r="HK504" s="5"/>
      <c r="HL504" s="5"/>
      <c r="HM504" s="5"/>
      <c r="HN504" s="5"/>
      <c r="HO504" s="5"/>
      <c r="HP504" s="5"/>
      <c r="HQ504" s="5"/>
      <c r="HR504" s="5"/>
      <c r="HS504" s="5"/>
      <c r="HT504" s="5"/>
      <c r="HU504" s="5"/>
      <c r="HV504" s="5"/>
    </row>
    <row r="505" spans="21:230" ht="12.75">
      <c r="U505" s="5"/>
      <c r="V505" s="5"/>
      <c r="W505" s="5"/>
      <c r="X505" s="5"/>
      <c r="Y505" s="5"/>
      <c r="AA505" s="5"/>
      <c r="AB505" s="5"/>
      <c r="AC505" s="5"/>
      <c r="AD505" s="5"/>
      <c r="AE505" s="5"/>
      <c r="AY505" s="5"/>
      <c r="AZ505" s="5"/>
      <c r="BA505" s="5"/>
      <c r="BB505" s="5"/>
      <c r="BC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  <c r="GL505" s="5"/>
      <c r="GM505" s="5"/>
      <c r="GN505" s="5"/>
      <c r="GO505" s="5"/>
      <c r="GP505" s="5"/>
      <c r="GQ505" s="5"/>
      <c r="GR505" s="5"/>
      <c r="GS505" s="5"/>
      <c r="GT505" s="5"/>
      <c r="GU505" s="5"/>
      <c r="GV505" s="5"/>
      <c r="GW505" s="5"/>
      <c r="GX505" s="5"/>
      <c r="GY505" s="5"/>
      <c r="GZ505" s="5"/>
      <c r="HA505" s="5"/>
      <c r="HB505" s="5"/>
      <c r="HC505" s="5"/>
      <c r="HD505" s="5"/>
      <c r="HE505" s="5"/>
      <c r="HF505" s="5"/>
      <c r="HG505" s="5"/>
      <c r="HH505" s="5"/>
      <c r="HI505" s="5"/>
      <c r="HJ505" s="5"/>
      <c r="HK505" s="5"/>
      <c r="HL505" s="5"/>
      <c r="HM505" s="5"/>
      <c r="HN505" s="5"/>
      <c r="HO505" s="5"/>
      <c r="HP505" s="5"/>
      <c r="HQ505" s="5"/>
      <c r="HR505" s="5"/>
      <c r="HS505" s="5"/>
      <c r="HT505" s="5"/>
      <c r="HU505" s="5"/>
      <c r="HV505" s="5"/>
    </row>
    <row r="506" spans="21:230" ht="12.75">
      <c r="U506" s="5"/>
      <c r="V506" s="5"/>
      <c r="W506" s="5"/>
      <c r="X506" s="5"/>
      <c r="Y506" s="5"/>
      <c r="AA506" s="5"/>
      <c r="AB506" s="5"/>
      <c r="AC506" s="5"/>
      <c r="AD506" s="5"/>
      <c r="AE506" s="5"/>
      <c r="AY506" s="5"/>
      <c r="AZ506" s="5"/>
      <c r="BA506" s="5"/>
      <c r="BB506" s="5"/>
      <c r="BC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  <c r="GL506" s="5"/>
      <c r="GM506" s="5"/>
      <c r="GN506" s="5"/>
      <c r="GO506" s="5"/>
      <c r="GP506" s="5"/>
      <c r="GQ506" s="5"/>
      <c r="GR506" s="5"/>
      <c r="GS506" s="5"/>
      <c r="GT506" s="5"/>
      <c r="GU506" s="5"/>
      <c r="GV506" s="5"/>
      <c r="GW506" s="5"/>
      <c r="GX506" s="5"/>
      <c r="GY506" s="5"/>
      <c r="GZ506" s="5"/>
      <c r="HA506" s="5"/>
      <c r="HB506" s="5"/>
      <c r="HC506" s="5"/>
      <c r="HD506" s="5"/>
      <c r="HE506" s="5"/>
      <c r="HF506" s="5"/>
      <c r="HG506" s="5"/>
      <c r="HH506" s="5"/>
      <c r="HI506" s="5"/>
      <c r="HJ506" s="5"/>
      <c r="HK506" s="5"/>
      <c r="HL506" s="5"/>
      <c r="HM506" s="5"/>
      <c r="HN506" s="5"/>
      <c r="HO506" s="5"/>
      <c r="HP506" s="5"/>
      <c r="HQ506" s="5"/>
      <c r="HR506" s="5"/>
      <c r="HS506" s="5"/>
      <c r="HT506" s="5"/>
      <c r="HU506" s="5"/>
      <c r="HV506" s="5"/>
    </row>
    <row r="507" spans="21:230" ht="12.75">
      <c r="U507" s="5"/>
      <c r="V507" s="5"/>
      <c r="W507" s="5"/>
      <c r="X507" s="5"/>
      <c r="Y507" s="5"/>
      <c r="AA507" s="5"/>
      <c r="AB507" s="5"/>
      <c r="AC507" s="5"/>
      <c r="AD507" s="5"/>
      <c r="AE507" s="5"/>
      <c r="AY507" s="5"/>
      <c r="AZ507" s="5"/>
      <c r="BA507" s="5"/>
      <c r="BB507" s="5"/>
      <c r="BC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  <c r="GL507" s="5"/>
      <c r="GM507" s="5"/>
      <c r="GN507" s="5"/>
      <c r="GO507" s="5"/>
      <c r="GP507" s="5"/>
      <c r="GQ507" s="5"/>
      <c r="GR507" s="5"/>
      <c r="GS507" s="5"/>
      <c r="GT507" s="5"/>
      <c r="GU507" s="5"/>
      <c r="GV507" s="5"/>
      <c r="GW507" s="5"/>
      <c r="GX507" s="5"/>
      <c r="GY507" s="5"/>
      <c r="GZ507" s="5"/>
      <c r="HA507" s="5"/>
      <c r="HB507" s="5"/>
      <c r="HC507" s="5"/>
      <c r="HD507" s="5"/>
      <c r="HE507" s="5"/>
      <c r="HF507" s="5"/>
      <c r="HG507" s="5"/>
      <c r="HH507" s="5"/>
      <c r="HI507" s="5"/>
      <c r="HJ507" s="5"/>
      <c r="HK507" s="5"/>
      <c r="HL507" s="5"/>
      <c r="HM507" s="5"/>
      <c r="HN507" s="5"/>
      <c r="HO507" s="5"/>
      <c r="HP507" s="5"/>
      <c r="HQ507" s="5"/>
      <c r="HR507" s="5"/>
      <c r="HS507" s="5"/>
      <c r="HT507" s="5"/>
      <c r="HU507" s="5"/>
      <c r="HV507" s="5"/>
    </row>
    <row r="508" spans="21:230" ht="12.75">
      <c r="U508" s="5"/>
      <c r="V508" s="5"/>
      <c r="W508" s="5"/>
      <c r="X508" s="5"/>
      <c r="Y508" s="5"/>
      <c r="AA508" s="5"/>
      <c r="AB508" s="5"/>
      <c r="AC508" s="5"/>
      <c r="AD508" s="5"/>
      <c r="AE508" s="5"/>
      <c r="AY508" s="5"/>
      <c r="AZ508" s="5"/>
      <c r="BA508" s="5"/>
      <c r="BB508" s="5"/>
      <c r="BC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  <c r="GL508" s="5"/>
      <c r="GM508" s="5"/>
      <c r="GN508" s="5"/>
      <c r="GO508" s="5"/>
      <c r="GP508" s="5"/>
      <c r="GQ508" s="5"/>
      <c r="GR508" s="5"/>
      <c r="GS508" s="5"/>
      <c r="GT508" s="5"/>
      <c r="GU508" s="5"/>
      <c r="GV508" s="5"/>
      <c r="GW508" s="5"/>
      <c r="GX508" s="5"/>
      <c r="GY508" s="5"/>
      <c r="GZ508" s="5"/>
      <c r="HA508" s="5"/>
      <c r="HB508" s="5"/>
      <c r="HC508" s="5"/>
      <c r="HD508" s="5"/>
      <c r="HE508" s="5"/>
      <c r="HF508" s="5"/>
      <c r="HG508" s="5"/>
      <c r="HH508" s="5"/>
      <c r="HI508" s="5"/>
      <c r="HJ508" s="5"/>
      <c r="HK508" s="5"/>
      <c r="HL508" s="5"/>
      <c r="HM508" s="5"/>
      <c r="HN508" s="5"/>
      <c r="HO508" s="5"/>
      <c r="HP508" s="5"/>
      <c r="HQ508" s="5"/>
      <c r="HR508" s="5"/>
      <c r="HS508" s="5"/>
      <c r="HT508" s="5"/>
      <c r="HU508" s="5"/>
      <c r="HV508" s="5"/>
    </row>
    <row r="509" spans="21:230" ht="12.75">
      <c r="U509" s="5"/>
      <c r="V509" s="5"/>
      <c r="W509" s="5"/>
      <c r="X509" s="5"/>
      <c r="Y509" s="5"/>
      <c r="AA509" s="5"/>
      <c r="AB509" s="5"/>
      <c r="AC509" s="5"/>
      <c r="AD509" s="5"/>
      <c r="AE509" s="5"/>
      <c r="AY509" s="5"/>
      <c r="AZ509" s="5"/>
      <c r="BA509" s="5"/>
      <c r="BB509" s="5"/>
      <c r="BC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  <c r="GL509" s="5"/>
      <c r="GM509" s="5"/>
      <c r="GN509" s="5"/>
      <c r="GO509" s="5"/>
      <c r="GP509" s="5"/>
      <c r="GQ509" s="5"/>
      <c r="GR509" s="5"/>
      <c r="GS509" s="5"/>
      <c r="GT509" s="5"/>
      <c r="GU509" s="5"/>
      <c r="GV509" s="5"/>
      <c r="GW509" s="5"/>
      <c r="GX509" s="5"/>
      <c r="GY509" s="5"/>
      <c r="GZ509" s="5"/>
      <c r="HA509" s="5"/>
      <c r="HB509" s="5"/>
      <c r="HC509" s="5"/>
      <c r="HD509" s="5"/>
      <c r="HE509" s="5"/>
      <c r="HF509" s="5"/>
      <c r="HG509" s="5"/>
      <c r="HH509" s="5"/>
      <c r="HI509" s="5"/>
      <c r="HJ509" s="5"/>
      <c r="HK509" s="5"/>
      <c r="HL509" s="5"/>
      <c r="HM509" s="5"/>
      <c r="HN509" s="5"/>
      <c r="HO509" s="5"/>
      <c r="HP509" s="5"/>
      <c r="HQ509" s="5"/>
      <c r="HR509" s="5"/>
      <c r="HS509" s="5"/>
      <c r="HT509" s="5"/>
      <c r="HU509" s="5"/>
      <c r="HV509" s="5"/>
    </row>
    <row r="510" spans="21:230" ht="12.75">
      <c r="U510" s="5"/>
      <c r="V510" s="5"/>
      <c r="W510" s="5"/>
      <c r="X510" s="5"/>
      <c r="Y510" s="5"/>
      <c r="AA510" s="5"/>
      <c r="AB510" s="5"/>
      <c r="AC510" s="5"/>
      <c r="AD510" s="5"/>
      <c r="AE510" s="5"/>
      <c r="AY510" s="5"/>
      <c r="AZ510" s="5"/>
      <c r="BA510" s="5"/>
      <c r="BB510" s="5"/>
      <c r="BC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  <c r="GL510" s="5"/>
      <c r="GM510" s="5"/>
      <c r="GN510" s="5"/>
      <c r="GO510" s="5"/>
      <c r="GP510" s="5"/>
      <c r="GQ510" s="5"/>
      <c r="GR510" s="5"/>
      <c r="GS510" s="5"/>
      <c r="GT510" s="5"/>
      <c r="GU510" s="5"/>
      <c r="GV510" s="5"/>
      <c r="GW510" s="5"/>
      <c r="GX510" s="5"/>
      <c r="GY510" s="5"/>
      <c r="GZ510" s="5"/>
      <c r="HA510" s="5"/>
      <c r="HB510" s="5"/>
      <c r="HC510" s="5"/>
      <c r="HD510" s="5"/>
      <c r="HE510" s="5"/>
      <c r="HF510" s="5"/>
      <c r="HG510" s="5"/>
      <c r="HH510" s="5"/>
      <c r="HI510" s="5"/>
      <c r="HJ510" s="5"/>
      <c r="HK510" s="5"/>
      <c r="HL510" s="5"/>
      <c r="HM510" s="5"/>
      <c r="HN510" s="5"/>
      <c r="HO510" s="5"/>
      <c r="HP510" s="5"/>
      <c r="HQ510" s="5"/>
      <c r="HR510" s="5"/>
      <c r="HS510" s="5"/>
      <c r="HT510" s="5"/>
      <c r="HU510" s="5"/>
      <c r="HV510" s="5"/>
    </row>
    <row r="511" spans="21:230" ht="12.75">
      <c r="U511" s="5"/>
      <c r="V511" s="5"/>
      <c r="W511" s="5"/>
      <c r="X511" s="5"/>
      <c r="Y511" s="5"/>
      <c r="AA511" s="5"/>
      <c r="AB511" s="5"/>
      <c r="AC511" s="5"/>
      <c r="AD511" s="5"/>
      <c r="AE511" s="5"/>
      <c r="AY511" s="5"/>
      <c r="AZ511" s="5"/>
      <c r="BA511" s="5"/>
      <c r="BB511" s="5"/>
      <c r="BC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  <c r="GL511" s="5"/>
      <c r="GM511" s="5"/>
      <c r="GN511" s="5"/>
      <c r="GO511" s="5"/>
      <c r="GP511" s="5"/>
      <c r="GQ511" s="5"/>
      <c r="GR511" s="5"/>
      <c r="GS511" s="5"/>
      <c r="GT511" s="5"/>
      <c r="GU511" s="5"/>
      <c r="GV511" s="5"/>
      <c r="GW511" s="5"/>
      <c r="GX511" s="5"/>
      <c r="GY511" s="5"/>
      <c r="GZ511" s="5"/>
      <c r="HA511" s="5"/>
      <c r="HB511" s="5"/>
      <c r="HC511" s="5"/>
      <c r="HD511" s="5"/>
      <c r="HE511" s="5"/>
      <c r="HF511" s="5"/>
      <c r="HG511" s="5"/>
      <c r="HH511" s="5"/>
      <c r="HI511" s="5"/>
      <c r="HJ511" s="5"/>
      <c r="HK511" s="5"/>
      <c r="HL511" s="5"/>
      <c r="HM511" s="5"/>
      <c r="HN511" s="5"/>
      <c r="HO511" s="5"/>
      <c r="HP511" s="5"/>
      <c r="HQ511" s="5"/>
      <c r="HR511" s="5"/>
      <c r="HS511" s="5"/>
      <c r="HT511" s="5"/>
      <c r="HU511" s="5"/>
      <c r="HV511" s="5"/>
    </row>
    <row r="512" spans="21:230" ht="12.75">
      <c r="U512" s="5"/>
      <c r="V512" s="5"/>
      <c r="W512" s="5"/>
      <c r="X512" s="5"/>
      <c r="Y512" s="5"/>
      <c r="AA512" s="5"/>
      <c r="AB512" s="5"/>
      <c r="AC512" s="5"/>
      <c r="AD512" s="5"/>
      <c r="AE512" s="5"/>
      <c r="AY512" s="5"/>
      <c r="AZ512" s="5"/>
      <c r="BA512" s="5"/>
      <c r="BB512" s="5"/>
      <c r="BC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  <c r="GL512" s="5"/>
      <c r="GM512" s="5"/>
      <c r="GN512" s="5"/>
      <c r="GO512" s="5"/>
      <c r="GP512" s="5"/>
      <c r="GQ512" s="5"/>
      <c r="GR512" s="5"/>
      <c r="GS512" s="5"/>
      <c r="GT512" s="5"/>
      <c r="GU512" s="5"/>
      <c r="GV512" s="5"/>
      <c r="GW512" s="5"/>
      <c r="GX512" s="5"/>
      <c r="GY512" s="5"/>
      <c r="GZ512" s="5"/>
      <c r="HA512" s="5"/>
      <c r="HB512" s="5"/>
      <c r="HC512" s="5"/>
      <c r="HD512" s="5"/>
      <c r="HE512" s="5"/>
      <c r="HF512" s="5"/>
      <c r="HG512" s="5"/>
      <c r="HH512" s="5"/>
      <c r="HI512" s="5"/>
      <c r="HJ512" s="5"/>
      <c r="HK512" s="5"/>
      <c r="HL512" s="5"/>
      <c r="HM512" s="5"/>
      <c r="HN512" s="5"/>
      <c r="HO512" s="5"/>
      <c r="HP512" s="5"/>
      <c r="HQ512" s="5"/>
      <c r="HR512" s="5"/>
      <c r="HS512" s="5"/>
      <c r="HT512" s="5"/>
      <c r="HU512" s="5"/>
      <c r="HV512" s="5"/>
    </row>
    <row r="513" spans="21:230" ht="12.75">
      <c r="U513" s="5"/>
      <c r="V513" s="5"/>
      <c r="W513" s="5"/>
      <c r="X513" s="5"/>
      <c r="Y513" s="5"/>
      <c r="AA513" s="5"/>
      <c r="AB513" s="5"/>
      <c r="AC513" s="5"/>
      <c r="AD513" s="5"/>
      <c r="AE513" s="5"/>
      <c r="AY513" s="5"/>
      <c r="AZ513" s="5"/>
      <c r="BA513" s="5"/>
      <c r="BB513" s="5"/>
      <c r="BC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  <c r="GL513" s="5"/>
      <c r="GM513" s="5"/>
      <c r="GN513" s="5"/>
      <c r="GO513" s="5"/>
      <c r="GP513" s="5"/>
      <c r="GQ513" s="5"/>
      <c r="GR513" s="5"/>
      <c r="GS513" s="5"/>
      <c r="GT513" s="5"/>
      <c r="GU513" s="5"/>
      <c r="GV513" s="5"/>
      <c r="GW513" s="5"/>
      <c r="GX513" s="5"/>
      <c r="GY513" s="5"/>
      <c r="GZ513" s="5"/>
      <c r="HA513" s="5"/>
      <c r="HB513" s="5"/>
      <c r="HC513" s="5"/>
      <c r="HD513" s="5"/>
      <c r="HE513" s="5"/>
      <c r="HF513" s="5"/>
      <c r="HG513" s="5"/>
      <c r="HH513" s="5"/>
      <c r="HI513" s="5"/>
      <c r="HJ513" s="5"/>
      <c r="HK513" s="5"/>
      <c r="HL513" s="5"/>
      <c r="HM513" s="5"/>
      <c r="HN513" s="5"/>
      <c r="HO513" s="5"/>
      <c r="HP513" s="5"/>
      <c r="HQ513" s="5"/>
      <c r="HR513" s="5"/>
      <c r="HS513" s="5"/>
      <c r="HT513" s="5"/>
      <c r="HU513" s="5"/>
      <c r="HV513" s="5"/>
    </row>
    <row r="514" spans="21:230" ht="12.75">
      <c r="U514" s="5"/>
      <c r="V514" s="5"/>
      <c r="W514" s="5"/>
      <c r="X514" s="5"/>
      <c r="Y514" s="5"/>
      <c r="AA514" s="5"/>
      <c r="AB514" s="5"/>
      <c r="AC514" s="5"/>
      <c r="AD514" s="5"/>
      <c r="AE514" s="5"/>
      <c r="AY514" s="5"/>
      <c r="AZ514" s="5"/>
      <c r="BA514" s="5"/>
      <c r="BB514" s="5"/>
      <c r="BC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  <c r="GB514" s="5"/>
      <c r="GC514" s="5"/>
      <c r="GD514" s="5"/>
      <c r="GE514" s="5"/>
      <c r="GF514" s="5"/>
      <c r="GG514" s="5"/>
      <c r="GH514" s="5"/>
      <c r="GI514" s="5"/>
      <c r="GJ514" s="5"/>
      <c r="GK514" s="5"/>
      <c r="GL514" s="5"/>
      <c r="GM514" s="5"/>
      <c r="GN514" s="5"/>
      <c r="GO514" s="5"/>
      <c r="GP514" s="5"/>
      <c r="GQ514" s="5"/>
      <c r="GR514" s="5"/>
      <c r="GS514" s="5"/>
      <c r="GT514" s="5"/>
      <c r="GU514" s="5"/>
      <c r="GV514" s="5"/>
      <c r="GW514" s="5"/>
      <c r="GX514" s="5"/>
      <c r="GY514" s="5"/>
      <c r="GZ514" s="5"/>
      <c r="HA514" s="5"/>
      <c r="HB514" s="5"/>
      <c r="HC514" s="5"/>
      <c r="HD514" s="5"/>
      <c r="HE514" s="5"/>
      <c r="HF514" s="5"/>
      <c r="HG514" s="5"/>
      <c r="HH514" s="5"/>
      <c r="HI514" s="5"/>
      <c r="HJ514" s="5"/>
      <c r="HK514" s="5"/>
      <c r="HL514" s="5"/>
      <c r="HM514" s="5"/>
      <c r="HN514" s="5"/>
      <c r="HO514" s="5"/>
      <c r="HP514" s="5"/>
      <c r="HQ514" s="5"/>
      <c r="HR514" s="5"/>
      <c r="HS514" s="5"/>
      <c r="HT514" s="5"/>
      <c r="HU514" s="5"/>
      <c r="HV514" s="5"/>
    </row>
    <row r="515" spans="21:230" ht="12.75">
      <c r="U515" s="5"/>
      <c r="V515" s="5"/>
      <c r="W515" s="5"/>
      <c r="X515" s="5"/>
      <c r="Y515" s="5"/>
      <c r="AA515" s="5"/>
      <c r="AB515" s="5"/>
      <c r="AC515" s="5"/>
      <c r="AD515" s="5"/>
      <c r="AE515" s="5"/>
      <c r="AY515" s="5"/>
      <c r="AZ515" s="5"/>
      <c r="BA515" s="5"/>
      <c r="BB515" s="5"/>
      <c r="BC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  <c r="GL515" s="5"/>
      <c r="GM515" s="5"/>
      <c r="GN515" s="5"/>
      <c r="GO515" s="5"/>
      <c r="GP515" s="5"/>
      <c r="GQ515" s="5"/>
      <c r="GR515" s="5"/>
      <c r="GS515" s="5"/>
      <c r="GT515" s="5"/>
      <c r="GU515" s="5"/>
      <c r="GV515" s="5"/>
      <c r="GW515" s="5"/>
      <c r="GX515" s="5"/>
      <c r="GY515" s="5"/>
      <c r="GZ515" s="5"/>
      <c r="HA515" s="5"/>
      <c r="HB515" s="5"/>
      <c r="HC515" s="5"/>
      <c r="HD515" s="5"/>
      <c r="HE515" s="5"/>
      <c r="HF515" s="5"/>
      <c r="HG515" s="5"/>
      <c r="HH515" s="5"/>
      <c r="HI515" s="5"/>
      <c r="HJ515" s="5"/>
      <c r="HK515" s="5"/>
      <c r="HL515" s="5"/>
      <c r="HM515" s="5"/>
      <c r="HN515" s="5"/>
      <c r="HO515" s="5"/>
      <c r="HP515" s="5"/>
      <c r="HQ515" s="5"/>
      <c r="HR515" s="5"/>
      <c r="HS515" s="5"/>
      <c r="HT515" s="5"/>
      <c r="HU515" s="5"/>
      <c r="HV515" s="5"/>
    </row>
    <row r="516" spans="21:230" ht="12.75">
      <c r="U516" s="5"/>
      <c r="V516" s="5"/>
      <c r="W516" s="5"/>
      <c r="X516" s="5"/>
      <c r="Y516" s="5"/>
      <c r="AA516" s="5"/>
      <c r="AB516" s="5"/>
      <c r="AC516" s="5"/>
      <c r="AD516" s="5"/>
      <c r="AE516" s="5"/>
      <c r="AY516" s="5"/>
      <c r="AZ516" s="5"/>
      <c r="BA516" s="5"/>
      <c r="BB516" s="5"/>
      <c r="BC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  <c r="GL516" s="5"/>
      <c r="GM516" s="5"/>
      <c r="GN516" s="5"/>
      <c r="GO516" s="5"/>
      <c r="GP516" s="5"/>
      <c r="GQ516" s="5"/>
      <c r="GR516" s="5"/>
      <c r="GS516" s="5"/>
      <c r="GT516" s="5"/>
      <c r="GU516" s="5"/>
      <c r="GV516" s="5"/>
      <c r="GW516" s="5"/>
      <c r="GX516" s="5"/>
      <c r="GY516" s="5"/>
      <c r="GZ516" s="5"/>
      <c r="HA516" s="5"/>
      <c r="HB516" s="5"/>
      <c r="HC516" s="5"/>
      <c r="HD516" s="5"/>
      <c r="HE516" s="5"/>
      <c r="HF516" s="5"/>
      <c r="HG516" s="5"/>
      <c r="HH516" s="5"/>
      <c r="HI516" s="5"/>
      <c r="HJ516" s="5"/>
      <c r="HK516" s="5"/>
      <c r="HL516" s="5"/>
      <c r="HM516" s="5"/>
      <c r="HN516" s="5"/>
      <c r="HO516" s="5"/>
      <c r="HP516" s="5"/>
      <c r="HQ516" s="5"/>
      <c r="HR516" s="5"/>
      <c r="HS516" s="5"/>
      <c r="HT516" s="5"/>
      <c r="HU516" s="5"/>
      <c r="HV516" s="5"/>
    </row>
    <row r="517" spans="21:230" ht="12.75">
      <c r="U517" s="5"/>
      <c r="V517" s="5"/>
      <c r="W517" s="5"/>
      <c r="X517" s="5"/>
      <c r="Y517" s="5"/>
      <c r="AA517" s="5"/>
      <c r="AB517" s="5"/>
      <c r="AC517" s="5"/>
      <c r="AD517" s="5"/>
      <c r="AE517" s="5"/>
      <c r="AY517" s="5"/>
      <c r="AZ517" s="5"/>
      <c r="BA517" s="5"/>
      <c r="BB517" s="5"/>
      <c r="BC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  <c r="GB517" s="5"/>
      <c r="GC517" s="5"/>
      <c r="GD517" s="5"/>
      <c r="GE517" s="5"/>
      <c r="GF517" s="5"/>
      <c r="GG517" s="5"/>
      <c r="GH517" s="5"/>
      <c r="GI517" s="5"/>
      <c r="GJ517" s="5"/>
      <c r="GK517" s="5"/>
      <c r="GL517" s="5"/>
      <c r="GM517" s="5"/>
      <c r="GN517" s="5"/>
      <c r="GO517" s="5"/>
      <c r="GP517" s="5"/>
      <c r="GQ517" s="5"/>
      <c r="GR517" s="5"/>
      <c r="GS517" s="5"/>
      <c r="GT517" s="5"/>
      <c r="GU517" s="5"/>
      <c r="GV517" s="5"/>
      <c r="GW517" s="5"/>
      <c r="GX517" s="5"/>
      <c r="GY517" s="5"/>
      <c r="GZ517" s="5"/>
      <c r="HA517" s="5"/>
      <c r="HB517" s="5"/>
      <c r="HC517" s="5"/>
      <c r="HD517" s="5"/>
      <c r="HE517" s="5"/>
      <c r="HF517" s="5"/>
      <c r="HG517" s="5"/>
      <c r="HH517" s="5"/>
      <c r="HI517" s="5"/>
      <c r="HJ517" s="5"/>
      <c r="HK517" s="5"/>
      <c r="HL517" s="5"/>
      <c r="HM517" s="5"/>
      <c r="HN517" s="5"/>
      <c r="HO517" s="5"/>
      <c r="HP517" s="5"/>
      <c r="HQ517" s="5"/>
      <c r="HR517" s="5"/>
      <c r="HS517" s="5"/>
      <c r="HT517" s="5"/>
      <c r="HU517" s="5"/>
      <c r="HV517" s="5"/>
    </row>
    <row r="518" spans="21:230" ht="12.75">
      <c r="U518" s="5"/>
      <c r="V518" s="5"/>
      <c r="W518" s="5"/>
      <c r="X518" s="5"/>
      <c r="Y518" s="5"/>
      <c r="AA518" s="5"/>
      <c r="AB518" s="5"/>
      <c r="AC518" s="5"/>
      <c r="AD518" s="5"/>
      <c r="AE518" s="5"/>
      <c r="AY518" s="5"/>
      <c r="AZ518" s="5"/>
      <c r="BA518" s="5"/>
      <c r="BB518" s="5"/>
      <c r="BC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  <c r="GL518" s="5"/>
      <c r="GM518" s="5"/>
      <c r="GN518" s="5"/>
      <c r="GO518" s="5"/>
      <c r="GP518" s="5"/>
      <c r="GQ518" s="5"/>
      <c r="GR518" s="5"/>
      <c r="GS518" s="5"/>
      <c r="GT518" s="5"/>
      <c r="GU518" s="5"/>
      <c r="GV518" s="5"/>
      <c r="GW518" s="5"/>
      <c r="GX518" s="5"/>
      <c r="GY518" s="5"/>
      <c r="GZ518" s="5"/>
      <c r="HA518" s="5"/>
      <c r="HB518" s="5"/>
      <c r="HC518" s="5"/>
      <c r="HD518" s="5"/>
      <c r="HE518" s="5"/>
      <c r="HF518" s="5"/>
      <c r="HG518" s="5"/>
      <c r="HH518" s="5"/>
      <c r="HI518" s="5"/>
      <c r="HJ518" s="5"/>
      <c r="HK518" s="5"/>
      <c r="HL518" s="5"/>
      <c r="HM518" s="5"/>
      <c r="HN518" s="5"/>
      <c r="HO518" s="5"/>
      <c r="HP518" s="5"/>
      <c r="HQ518" s="5"/>
      <c r="HR518" s="5"/>
      <c r="HS518" s="5"/>
      <c r="HT518" s="5"/>
      <c r="HU518" s="5"/>
      <c r="HV518" s="5"/>
    </row>
    <row r="519" spans="21:230" ht="12.75">
      <c r="U519" s="5"/>
      <c r="V519" s="5"/>
      <c r="W519" s="5"/>
      <c r="X519" s="5"/>
      <c r="Y519" s="5"/>
      <c r="AA519" s="5"/>
      <c r="AB519" s="5"/>
      <c r="AC519" s="5"/>
      <c r="AD519" s="5"/>
      <c r="AE519" s="5"/>
      <c r="AY519" s="5"/>
      <c r="AZ519" s="5"/>
      <c r="BA519" s="5"/>
      <c r="BB519" s="5"/>
      <c r="BC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  <c r="GB519" s="5"/>
      <c r="GC519" s="5"/>
      <c r="GD519" s="5"/>
      <c r="GE519" s="5"/>
      <c r="GF519" s="5"/>
      <c r="GG519" s="5"/>
      <c r="GH519" s="5"/>
      <c r="GI519" s="5"/>
      <c r="GJ519" s="5"/>
      <c r="GK519" s="5"/>
      <c r="GL519" s="5"/>
      <c r="GM519" s="5"/>
      <c r="GN519" s="5"/>
      <c r="GO519" s="5"/>
      <c r="GP519" s="5"/>
      <c r="GQ519" s="5"/>
      <c r="GR519" s="5"/>
      <c r="GS519" s="5"/>
      <c r="GT519" s="5"/>
      <c r="GU519" s="5"/>
      <c r="GV519" s="5"/>
      <c r="GW519" s="5"/>
      <c r="GX519" s="5"/>
      <c r="GY519" s="5"/>
      <c r="GZ519" s="5"/>
      <c r="HA519" s="5"/>
      <c r="HB519" s="5"/>
      <c r="HC519" s="5"/>
      <c r="HD519" s="5"/>
      <c r="HE519" s="5"/>
      <c r="HF519" s="5"/>
      <c r="HG519" s="5"/>
      <c r="HH519" s="5"/>
      <c r="HI519" s="5"/>
      <c r="HJ519" s="5"/>
      <c r="HK519" s="5"/>
      <c r="HL519" s="5"/>
      <c r="HM519" s="5"/>
      <c r="HN519" s="5"/>
      <c r="HO519" s="5"/>
      <c r="HP519" s="5"/>
      <c r="HQ519" s="5"/>
      <c r="HR519" s="5"/>
      <c r="HS519" s="5"/>
      <c r="HT519" s="5"/>
      <c r="HU519" s="5"/>
      <c r="HV519" s="5"/>
    </row>
    <row r="520" spans="21:230" ht="12.75">
      <c r="U520" s="5"/>
      <c r="V520" s="5"/>
      <c r="W520" s="5"/>
      <c r="X520" s="5"/>
      <c r="Y520" s="5"/>
      <c r="AA520" s="5"/>
      <c r="AB520" s="5"/>
      <c r="AC520" s="5"/>
      <c r="AD520" s="5"/>
      <c r="AE520" s="5"/>
      <c r="AY520" s="5"/>
      <c r="AZ520" s="5"/>
      <c r="BA520" s="5"/>
      <c r="BB520" s="5"/>
      <c r="BC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  <c r="GL520" s="5"/>
      <c r="GM520" s="5"/>
      <c r="GN520" s="5"/>
      <c r="GO520" s="5"/>
      <c r="GP520" s="5"/>
      <c r="GQ520" s="5"/>
      <c r="GR520" s="5"/>
      <c r="GS520" s="5"/>
      <c r="GT520" s="5"/>
      <c r="GU520" s="5"/>
      <c r="GV520" s="5"/>
      <c r="GW520" s="5"/>
      <c r="GX520" s="5"/>
      <c r="GY520" s="5"/>
      <c r="GZ520" s="5"/>
      <c r="HA520" s="5"/>
      <c r="HB520" s="5"/>
      <c r="HC520" s="5"/>
      <c r="HD520" s="5"/>
      <c r="HE520" s="5"/>
      <c r="HF520" s="5"/>
      <c r="HG520" s="5"/>
      <c r="HH520" s="5"/>
      <c r="HI520" s="5"/>
      <c r="HJ520" s="5"/>
      <c r="HK520" s="5"/>
      <c r="HL520" s="5"/>
      <c r="HM520" s="5"/>
      <c r="HN520" s="5"/>
      <c r="HO520" s="5"/>
      <c r="HP520" s="5"/>
      <c r="HQ520" s="5"/>
      <c r="HR520" s="5"/>
      <c r="HS520" s="5"/>
      <c r="HT520" s="5"/>
      <c r="HU520" s="5"/>
      <c r="HV520" s="5"/>
    </row>
    <row r="521" spans="21:230" ht="12.75">
      <c r="U521" s="5"/>
      <c r="V521" s="5"/>
      <c r="W521" s="5"/>
      <c r="X521" s="5"/>
      <c r="Y521" s="5"/>
      <c r="AA521" s="5"/>
      <c r="AB521" s="5"/>
      <c r="AC521" s="5"/>
      <c r="AD521" s="5"/>
      <c r="AE521" s="5"/>
      <c r="AY521" s="5"/>
      <c r="AZ521" s="5"/>
      <c r="BA521" s="5"/>
      <c r="BB521" s="5"/>
      <c r="BC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  <c r="GL521" s="5"/>
      <c r="GM521" s="5"/>
      <c r="GN521" s="5"/>
      <c r="GO521" s="5"/>
      <c r="GP521" s="5"/>
      <c r="GQ521" s="5"/>
      <c r="GR521" s="5"/>
      <c r="GS521" s="5"/>
      <c r="GT521" s="5"/>
      <c r="GU521" s="5"/>
      <c r="GV521" s="5"/>
      <c r="GW521" s="5"/>
      <c r="GX521" s="5"/>
      <c r="GY521" s="5"/>
      <c r="GZ521" s="5"/>
      <c r="HA521" s="5"/>
      <c r="HB521" s="5"/>
      <c r="HC521" s="5"/>
      <c r="HD521" s="5"/>
      <c r="HE521" s="5"/>
      <c r="HF521" s="5"/>
      <c r="HG521" s="5"/>
      <c r="HH521" s="5"/>
      <c r="HI521" s="5"/>
      <c r="HJ521" s="5"/>
      <c r="HK521" s="5"/>
      <c r="HL521" s="5"/>
      <c r="HM521" s="5"/>
      <c r="HN521" s="5"/>
      <c r="HO521" s="5"/>
      <c r="HP521" s="5"/>
      <c r="HQ521" s="5"/>
      <c r="HR521" s="5"/>
      <c r="HS521" s="5"/>
      <c r="HT521" s="5"/>
      <c r="HU521" s="5"/>
      <c r="HV521" s="5"/>
    </row>
    <row r="522" spans="21:230" ht="12.75">
      <c r="U522" s="5"/>
      <c r="V522" s="5"/>
      <c r="W522" s="5"/>
      <c r="X522" s="5"/>
      <c r="Y522" s="5"/>
      <c r="AA522" s="5"/>
      <c r="AB522" s="5"/>
      <c r="AC522" s="5"/>
      <c r="AD522" s="5"/>
      <c r="AE522" s="5"/>
      <c r="AY522" s="5"/>
      <c r="AZ522" s="5"/>
      <c r="BA522" s="5"/>
      <c r="BB522" s="5"/>
      <c r="BC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  <c r="GF522" s="5"/>
      <c r="GG522" s="5"/>
      <c r="GH522" s="5"/>
      <c r="GI522" s="5"/>
      <c r="GJ522" s="5"/>
      <c r="GK522" s="5"/>
      <c r="GL522" s="5"/>
      <c r="GM522" s="5"/>
      <c r="GN522" s="5"/>
      <c r="GO522" s="5"/>
      <c r="GP522" s="5"/>
      <c r="GQ522" s="5"/>
      <c r="GR522" s="5"/>
      <c r="GS522" s="5"/>
      <c r="GT522" s="5"/>
      <c r="GU522" s="5"/>
      <c r="GV522" s="5"/>
      <c r="GW522" s="5"/>
      <c r="GX522" s="5"/>
      <c r="GY522" s="5"/>
      <c r="GZ522" s="5"/>
      <c r="HA522" s="5"/>
      <c r="HB522" s="5"/>
      <c r="HC522" s="5"/>
      <c r="HD522" s="5"/>
      <c r="HE522" s="5"/>
      <c r="HF522" s="5"/>
      <c r="HG522" s="5"/>
      <c r="HH522" s="5"/>
      <c r="HI522" s="5"/>
      <c r="HJ522" s="5"/>
      <c r="HK522" s="5"/>
      <c r="HL522" s="5"/>
      <c r="HM522" s="5"/>
      <c r="HN522" s="5"/>
      <c r="HO522" s="5"/>
      <c r="HP522" s="5"/>
      <c r="HQ522" s="5"/>
      <c r="HR522" s="5"/>
      <c r="HS522" s="5"/>
      <c r="HT522" s="5"/>
      <c r="HU522" s="5"/>
      <c r="HV522" s="5"/>
    </row>
    <row r="523" spans="21:230" ht="12.75">
      <c r="U523" s="5"/>
      <c r="V523" s="5"/>
      <c r="W523" s="5"/>
      <c r="X523" s="5"/>
      <c r="Y523" s="5"/>
      <c r="AA523" s="5"/>
      <c r="AB523" s="5"/>
      <c r="AC523" s="5"/>
      <c r="AD523" s="5"/>
      <c r="AE523" s="5"/>
      <c r="AY523" s="5"/>
      <c r="AZ523" s="5"/>
      <c r="BA523" s="5"/>
      <c r="BB523" s="5"/>
      <c r="BC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  <c r="GF523" s="5"/>
      <c r="GG523" s="5"/>
      <c r="GH523" s="5"/>
      <c r="GI523" s="5"/>
      <c r="GJ523" s="5"/>
      <c r="GK523" s="5"/>
      <c r="GL523" s="5"/>
      <c r="GM523" s="5"/>
      <c r="GN523" s="5"/>
      <c r="GO523" s="5"/>
      <c r="GP523" s="5"/>
      <c r="GQ523" s="5"/>
      <c r="GR523" s="5"/>
      <c r="GS523" s="5"/>
      <c r="GT523" s="5"/>
      <c r="GU523" s="5"/>
      <c r="GV523" s="5"/>
      <c r="GW523" s="5"/>
      <c r="GX523" s="5"/>
      <c r="GY523" s="5"/>
      <c r="GZ523" s="5"/>
      <c r="HA523" s="5"/>
      <c r="HB523" s="5"/>
      <c r="HC523" s="5"/>
      <c r="HD523" s="5"/>
      <c r="HE523" s="5"/>
      <c r="HF523" s="5"/>
      <c r="HG523" s="5"/>
      <c r="HH523" s="5"/>
      <c r="HI523" s="5"/>
      <c r="HJ523" s="5"/>
      <c r="HK523" s="5"/>
      <c r="HL523" s="5"/>
      <c r="HM523" s="5"/>
      <c r="HN523" s="5"/>
      <c r="HO523" s="5"/>
      <c r="HP523" s="5"/>
      <c r="HQ523" s="5"/>
      <c r="HR523" s="5"/>
      <c r="HS523" s="5"/>
      <c r="HT523" s="5"/>
      <c r="HU523" s="5"/>
      <c r="HV523" s="5"/>
    </row>
    <row r="524" spans="21:230" ht="12.75">
      <c r="U524" s="5"/>
      <c r="V524" s="5"/>
      <c r="W524" s="5"/>
      <c r="X524" s="5"/>
      <c r="Y524" s="5"/>
      <c r="AA524" s="5"/>
      <c r="AB524" s="5"/>
      <c r="AC524" s="5"/>
      <c r="AD524" s="5"/>
      <c r="AE524" s="5"/>
      <c r="AY524" s="5"/>
      <c r="AZ524" s="5"/>
      <c r="BA524" s="5"/>
      <c r="BB524" s="5"/>
      <c r="BC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  <c r="GF524" s="5"/>
      <c r="GG524" s="5"/>
      <c r="GH524" s="5"/>
      <c r="GI524" s="5"/>
      <c r="GJ524" s="5"/>
      <c r="GK524" s="5"/>
      <c r="GL524" s="5"/>
      <c r="GM524" s="5"/>
      <c r="GN524" s="5"/>
      <c r="GO524" s="5"/>
      <c r="GP524" s="5"/>
      <c r="GQ524" s="5"/>
      <c r="GR524" s="5"/>
      <c r="GS524" s="5"/>
      <c r="GT524" s="5"/>
      <c r="GU524" s="5"/>
      <c r="GV524" s="5"/>
      <c r="GW524" s="5"/>
      <c r="GX524" s="5"/>
      <c r="GY524" s="5"/>
      <c r="GZ524" s="5"/>
      <c r="HA524" s="5"/>
      <c r="HB524" s="5"/>
      <c r="HC524" s="5"/>
      <c r="HD524" s="5"/>
      <c r="HE524" s="5"/>
      <c r="HF524" s="5"/>
      <c r="HG524" s="5"/>
      <c r="HH524" s="5"/>
      <c r="HI524" s="5"/>
      <c r="HJ524" s="5"/>
      <c r="HK524" s="5"/>
      <c r="HL524" s="5"/>
      <c r="HM524" s="5"/>
      <c r="HN524" s="5"/>
      <c r="HO524" s="5"/>
      <c r="HP524" s="5"/>
      <c r="HQ524" s="5"/>
      <c r="HR524" s="5"/>
      <c r="HS524" s="5"/>
      <c r="HT524" s="5"/>
      <c r="HU524" s="5"/>
      <c r="HV524" s="5"/>
    </row>
    <row r="525" spans="21:230" ht="12.75">
      <c r="U525" s="5"/>
      <c r="V525" s="5"/>
      <c r="W525" s="5"/>
      <c r="X525" s="5"/>
      <c r="Y525" s="5"/>
      <c r="AA525" s="5"/>
      <c r="AB525" s="5"/>
      <c r="AC525" s="5"/>
      <c r="AD525" s="5"/>
      <c r="AE525" s="5"/>
      <c r="AY525" s="5"/>
      <c r="AZ525" s="5"/>
      <c r="BA525" s="5"/>
      <c r="BB525" s="5"/>
      <c r="BC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  <c r="GL525" s="5"/>
      <c r="GM525" s="5"/>
      <c r="GN525" s="5"/>
      <c r="GO525" s="5"/>
      <c r="GP525" s="5"/>
      <c r="GQ525" s="5"/>
      <c r="GR525" s="5"/>
      <c r="GS525" s="5"/>
      <c r="GT525" s="5"/>
      <c r="GU525" s="5"/>
      <c r="GV525" s="5"/>
      <c r="GW525" s="5"/>
      <c r="GX525" s="5"/>
      <c r="GY525" s="5"/>
      <c r="GZ525" s="5"/>
      <c r="HA525" s="5"/>
      <c r="HB525" s="5"/>
      <c r="HC525" s="5"/>
      <c r="HD525" s="5"/>
      <c r="HE525" s="5"/>
      <c r="HF525" s="5"/>
      <c r="HG525" s="5"/>
      <c r="HH525" s="5"/>
      <c r="HI525" s="5"/>
      <c r="HJ525" s="5"/>
      <c r="HK525" s="5"/>
      <c r="HL525" s="5"/>
      <c r="HM525" s="5"/>
      <c r="HN525" s="5"/>
      <c r="HO525" s="5"/>
      <c r="HP525" s="5"/>
      <c r="HQ525" s="5"/>
      <c r="HR525" s="5"/>
      <c r="HS525" s="5"/>
      <c r="HT525" s="5"/>
      <c r="HU525" s="5"/>
      <c r="HV525" s="5"/>
    </row>
    <row r="526" spans="21:230" ht="12.75">
      <c r="U526" s="5"/>
      <c r="V526" s="5"/>
      <c r="W526" s="5"/>
      <c r="X526" s="5"/>
      <c r="Y526" s="5"/>
      <c r="AA526" s="5"/>
      <c r="AB526" s="5"/>
      <c r="AC526" s="5"/>
      <c r="AD526" s="5"/>
      <c r="AE526" s="5"/>
      <c r="AY526" s="5"/>
      <c r="AZ526" s="5"/>
      <c r="BA526" s="5"/>
      <c r="BB526" s="5"/>
      <c r="BC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  <c r="GL526" s="5"/>
      <c r="GM526" s="5"/>
      <c r="GN526" s="5"/>
      <c r="GO526" s="5"/>
      <c r="GP526" s="5"/>
      <c r="GQ526" s="5"/>
      <c r="GR526" s="5"/>
      <c r="GS526" s="5"/>
      <c r="GT526" s="5"/>
      <c r="GU526" s="5"/>
      <c r="GV526" s="5"/>
      <c r="GW526" s="5"/>
      <c r="GX526" s="5"/>
      <c r="GY526" s="5"/>
      <c r="GZ526" s="5"/>
      <c r="HA526" s="5"/>
      <c r="HB526" s="5"/>
      <c r="HC526" s="5"/>
      <c r="HD526" s="5"/>
      <c r="HE526" s="5"/>
      <c r="HF526" s="5"/>
      <c r="HG526" s="5"/>
      <c r="HH526" s="5"/>
      <c r="HI526" s="5"/>
      <c r="HJ526" s="5"/>
      <c r="HK526" s="5"/>
      <c r="HL526" s="5"/>
      <c r="HM526" s="5"/>
      <c r="HN526" s="5"/>
      <c r="HO526" s="5"/>
      <c r="HP526" s="5"/>
      <c r="HQ526" s="5"/>
      <c r="HR526" s="5"/>
      <c r="HS526" s="5"/>
      <c r="HT526" s="5"/>
      <c r="HU526" s="5"/>
      <c r="HV526" s="5"/>
    </row>
    <row r="527" spans="21:230" ht="12.75">
      <c r="U527" s="5"/>
      <c r="V527" s="5"/>
      <c r="W527" s="5"/>
      <c r="X527" s="5"/>
      <c r="Y527" s="5"/>
      <c r="AA527" s="5"/>
      <c r="AB527" s="5"/>
      <c r="AC527" s="5"/>
      <c r="AD527" s="5"/>
      <c r="AE527" s="5"/>
      <c r="AY527" s="5"/>
      <c r="AZ527" s="5"/>
      <c r="BA527" s="5"/>
      <c r="BB527" s="5"/>
      <c r="BC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  <c r="GL527" s="5"/>
      <c r="GM527" s="5"/>
      <c r="GN527" s="5"/>
      <c r="GO527" s="5"/>
      <c r="GP527" s="5"/>
      <c r="GQ527" s="5"/>
      <c r="GR527" s="5"/>
      <c r="GS527" s="5"/>
      <c r="GT527" s="5"/>
      <c r="GU527" s="5"/>
      <c r="GV527" s="5"/>
      <c r="GW527" s="5"/>
      <c r="GX527" s="5"/>
      <c r="GY527" s="5"/>
      <c r="GZ527" s="5"/>
      <c r="HA527" s="5"/>
      <c r="HB527" s="5"/>
      <c r="HC527" s="5"/>
      <c r="HD527" s="5"/>
      <c r="HE527" s="5"/>
      <c r="HF527" s="5"/>
      <c r="HG527" s="5"/>
      <c r="HH527" s="5"/>
      <c r="HI527" s="5"/>
      <c r="HJ527" s="5"/>
      <c r="HK527" s="5"/>
      <c r="HL527" s="5"/>
      <c r="HM527" s="5"/>
      <c r="HN527" s="5"/>
      <c r="HO527" s="5"/>
      <c r="HP527" s="5"/>
      <c r="HQ527" s="5"/>
      <c r="HR527" s="5"/>
      <c r="HS527" s="5"/>
      <c r="HT527" s="5"/>
      <c r="HU527" s="5"/>
      <c r="HV527" s="5"/>
    </row>
    <row r="528" spans="21:230" ht="12.75">
      <c r="U528" s="5"/>
      <c r="V528" s="5"/>
      <c r="W528" s="5"/>
      <c r="X528" s="5"/>
      <c r="Y528" s="5"/>
      <c r="AA528" s="5"/>
      <c r="AB528" s="5"/>
      <c r="AC528" s="5"/>
      <c r="AD528" s="5"/>
      <c r="AE528" s="5"/>
      <c r="AY528" s="5"/>
      <c r="AZ528" s="5"/>
      <c r="BA528" s="5"/>
      <c r="BB528" s="5"/>
      <c r="BC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  <c r="GB528" s="5"/>
      <c r="GC528" s="5"/>
      <c r="GD528" s="5"/>
      <c r="GE528" s="5"/>
      <c r="GF528" s="5"/>
      <c r="GG528" s="5"/>
      <c r="GH528" s="5"/>
      <c r="GI528" s="5"/>
      <c r="GJ528" s="5"/>
      <c r="GK528" s="5"/>
      <c r="GL528" s="5"/>
      <c r="GM528" s="5"/>
      <c r="GN528" s="5"/>
      <c r="GO528" s="5"/>
      <c r="GP528" s="5"/>
      <c r="GQ528" s="5"/>
      <c r="GR528" s="5"/>
      <c r="GS528" s="5"/>
      <c r="GT528" s="5"/>
      <c r="GU528" s="5"/>
      <c r="GV528" s="5"/>
      <c r="GW528" s="5"/>
      <c r="GX528" s="5"/>
      <c r="GY528" s="5"/>
      <c r="GZ528" s="5"/>
      <c r="HA528" s="5"/>
      <c r="HB528" s="5"/>
      <c r="HC528" s="5"/>
      <c r="HD528" s="5"/>
      <c r="HE528" s="5"/>
      <c r="HF528" s="5"/>
      <c r="HG528" s="5"/>
      <c r="HH528" s="5"/>
      <c r="HI528" s="5"/>
      <c r="HJ528" s="5"/>
      <c r="HK528" s="5"/>
      <c r="HL528" s="5"/>
      <c r="HM528" s="5"/>
      <c r="HN528" s="5"/>
      <c r="HO528" s="5"/>
      <c r="HP528" s="5"/>
      <c r="HQ528" s="5"/>
      <c r="HR528" s="5"/>
      <c r="HS528" s="5"/>
      <c r="HT528" s="5"/>
      <c r="HU528" s="5"/>
      <c r="HV528" s="5"/>
    </row>
    <row r="529" spans="21:230" ht="12.75">
      <c r="U529" s="5"/>
      <c r="V529" s="5"/>
      <c r="W529" s="5"/>
      <c r="X529" s="5"/>
      <c r="Y529" s="5"/>
      <c r="AA529" s="5"/>
      <c r="AB529" s="5"/>
      <c r="AC529" s="5"/>
      <c r="AD529" s="5"/>
      <c r="AE529" s="5"/>
      <c r="AY529" s="5"/>
      <c r="AZ529" s="5"/>
      <c r="BA529" s="5"/>
      <c r="BB529" s="5"/>
      <c r="BC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  <c r="GL529" s="5"/>
      <c r="GM529" s="5"/>
      <c r="GN529" s="5"/>
      <c r="GO529" s="5"/>
      <c r="GP529" s="5"/>
      <c r="GQ529" s="5"/>
      <c r="GR529" s="5"/>
      <c r="GS529" s="5"/>
      <c r="GT529" s="5"/>
      <c r="GU529" s="5"/>
      <c r="GV529" s="5"/>
      <c r="GW529" s="5"/>
      <c r="GX529" s="5"/>
      <c r="GY529" s="5"/>
      <c r="GZ529" s="5"/>
      <c r="HA529" s="5"/>
      <c r="HB529" s="5"/>
      <c r="HC529" s="5"/>
      <c r="HD529" s="5"/>
      <c r="HE529" s="5"/>
      <c r="HF529" s="5"/>
      <c r="HG529" s="5"/>
      <c r="HH529" s="5"/>
      <c r="HI529" s="5"/>
      <c r="HJ529" s="5"/>
      <c r="HK529" s="5"/>
      <c r="HL529" s="5"/>
      <c r="HM529" s="5"/>
      <c r="HN529" s="5"/>
      <c r="HO529" s="5"/>
      <c r="HP529" s="5"/>
      <c r="HQ529" s="5"/>
      <c r="HR529" s="5"/>
      <c r="HS529" s="5"/>
      <c r="HT529" s="5"/>
      <c r="HU529" s="5"/>
      <c r="HV529" s="5"/>
    </row>
    <row r="530" spans="21:230" ht="12.75">
      <c r="U530" s="5"/>
      <c r="V530" s="5"/>
      <c r="W530" s="5"/>
      <c r="X530" s="5"/>
      <c r="Y530" s="5"/>
      <c r="AA530" s="5"/>
      <c r="AB530" s="5"/>
      <c r="AC530" s="5"/>
      <c r="AD530" s="5"/>
      <c r="AE530" s="5"/>
      <c r="AY530" s="5"/>
      <c r="AZ530" s="5"/>
      <c r="BA530" s="5"/>
      <c r="BB530" s="5"/>
      <c r="BC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  <c r="GB530" s="5"/>
      <c r="GC530" s="5"/>
      <c r="GD530" s="5"/>
      <c r="GE530" s="5"/>
      <c r="GF530" s="5"/>
      <c r="GG530" s="5"/>
      <c r="GH530" s="5"/>
      <c r="GI530" s="5"/>
      <c r="GJ530" s="5"/>
      <c r="GK530" s="5"/>
      <c r="GL530" s="5"/>
      <c r="GM530" s="5"/>
      <c r="GN530" s="5"/>
      <c r="GO530" s="5"/>
      <c r="GP530" s="5"/>
      <c r="GQ530" s="5"/>
      <c r="GR530" s="5"/>
      <c r="GS530" s="5"/>
      <c r="GT530" s="5"/>
      <c r="GU530" s="5"/>
      <c r="GV530" s="5"/>
      <c r="GW530" s="5"/>
      <c r="GX530" s="5"/>
      <c r="GY530" s="5"/>
      <c r="GZ530" s="5"/>
      <c r="HA530" s="5"/>
      <c r="HB530" s="5"/>
      <c r="HC530" s="5"/>
      <c r="HD530" s="5"/>
      <c r="HE530" s="5"/>
      <c r="HF530" s="5"/>
      <c r="HG530" s="5"/>
      <c r="HH530" s="5"/>
      <c r="HI530" s="5"/>
      <c r="HJ530" s="5"/>
      <c r="HK530" s="5"/>
      <c r="HL530" s="5"/>
      <c r="HM530" s="5"/>
      <c r="HN530" s="5"/>
      <c r="HO530" s="5"/>
      <c r="HP530" s="5"/>
      <c r="HQ530" s="5"/>
      <c r="HR530" s="5"/>
      <c r="HS530" s="5"/>
      <c r="HT530" s="5"/>
      <c r="HU530" s="5"/>
      <c r="HV530" s="5"/>
    </row>
    <row r="531" spans="21:230" ht="12.75">
      <c r="U531" s="5"/>
      <c r="V531" s="5"/>
      <c r="W531" s="5"/>
      <c r="X531" s="5"/>
      <c r="Y531" s="5"/>
      <c r="AA531" s="5"/>
      <c r="AB531" s="5"/>
      <c r="AC531" s="5"/>
      <c r="AD531" s="5"/>
      <c r="AE531" s="5"/>
      <c r="AY531" s="5"/>
      <c r="AZ531" s="5"/>
      <c r="BA531" s="5"/>
      <c r="BB531" s="5"/>
      <c r="BC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  <c r="GL531" s="5"/>
      <c r="GM531" s="5"/>
      <c r="GN531" s="5"/>
      <c r="GO531" s="5"/>
      <c r="GP531" s="5"/>
      <c r="GQ531" s="5"/>
      <c r="GR531" s="5"/>
      <c r="GS531" s="5"/>
      <c r="GT531" s="5"/>
      <c r="GU531" s="5"/>
      <c r="GV531" s="5"/>
      <c r="GW531" s="5"/>
      <c r="GX531" s="5"/>
      <c r="GY531" s="5"/>
      <c r="GZ531" s="5"/>
      <c r="HA531" s="5"/>
      <c r="HB531" s="5"/>
      <c r="HC531" s="5"/>
      <c r="HD531" s="5"/>
      <c r="HE531" s="5"/>
      <c r="HF531" s="5"/>
      <c r="HG531" s="5"/>
      <c r="HH531" s="5"/>
      <c r="HI531" s="5"/>
      <c r="HJ531" s="5"/>
      <c r="HK531" s="5"/>
      <c r="HL531" s="5"/>
      <c r="HM531" s="5"/>
      <c r="HN531" s="5"/>
      <c r="HO531" s="5"/>
      <c r="HP531" s="5"/>
      <c r="HQ531" s="5"/>
      <c r="HR531" s="5"/>
      <c r="HS531" s="5"/>
      <c r="HT531" s="5"/>
      <c r="HU531" s="5"/>
      <c r="HV531" s="5"/>
    </row>
    <row r="532" spans="21:230" ht="12.75">
      <c r="U532" s="5"/>
      <c r="V532" s="5"/>
      <c r="W532" s="5"/>
      <c r="X532" s="5"/>
      <c r="Y532" s="5"/>
      <c r="AA532" s="5"/>
      <c r="AB532" s="5"/>
      <c r="AC532" s="5"/>
      <c r="AD532" s="5"/>
      <c r="AE532" s="5"/>
      <c r="AY532" s="5"/>
      <c r="AZ532" s="5"/>
      <c r="BA532" s="5"/>
      <c r="BB532" s="5"/>
      <c r="BC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  <c r="GB532" s="5"/>
      <c r="GC532" s="5"/>
      <c r="GD532" s="5"/>
      <c r="GE532" s="5"/>
      <c r="GF532" s="5"/>
      <c r="GG532" s="5"/>
      <c r="GH532" s="5"/>
      <c r="GI532" s="5"/>
      <c r="GJ532" s="5"/>
      <c r="GK532" s="5"/>
      <c r="GL532" s="5"/>
      <c r="GM532" s="5"/>
      <c r="GN532" s="5"/>
      <c r="GO532" s="5"/>
      <c r="GP532" s="5"/>
      <c r="GQ532" s="5"/>
      <c r="GR532" s="5"/>
      <c r="GS532" s="5"/>
      <c r="GT532" s="5"/>
      <c r="GU532" s="5"/>
      <c r="GV532" s="5"/>
      <c r="GW532" s="5"/>
      <c r="GX532" s="5"/>
      <c r="GY532" s="5"/>
      <c r="GZ532" s="5"/>
      <c r="HA532" s="5"/>
      <c r="HB532" s="5"/>
      <c r="HC532" s="5"/>
      <c r="HD532" s="5"/>
      <c r="HE532" s="5"/>
      <c r="HF532" s="5"/>
      <c r="HG532" s="5"/>
      <c r="HH532" s="5"/>
      <c r="HI532" s="5"/>
      <c r="HJ532" s="5"/>
      <c r="HK532" s="5"/>
      <c r="HL532" s="5"/>
      <c r="HM532" s="5"/>
      <c r="HN532" s="5"/>
      <c r="HO532" s="5"/>
      <c r="HP532" s="5"/>
      <c r="HQ532" s="5"/>
      <c r="HR532" s="5"/>
      <c r="HS532" s="5"/>
      <c r="HT532" s="5"/>
      <c r="HU532" s="5"/>
      <c r="HV532" s="5"/>
    </row>
    <row r="533" spans="21:230" ht="12.75">
      <c r="U533" s="5"/>
      <c r="V533" s="5"/>
      <c r="W533" s="5"/>
      <c r="X533" s="5"/>
      <c r="Y533" s="5"/>
      <c r="AA533" s="5"/>
      <c r="AB533" s="5"/>
      <c r="AC533" s="5"/>
      <c r="AD533" s="5"/>
      <c r="AE533" s="5"/>
      <c r="AY533" s="5"/>
      <c r="AZ533" s="5"/>
      <c r="BA533" s="5"/>
      <c r="BB533" s="5"/>
      <c r="BC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  <c r="GB533" s="5"/>
      <c r="GC533" s="5"/>
      <c r="GD533" s="5"/>
      <c r="GE533" s="5"/>
      <c r="GF533" s="5"/>
      <c r="GG533" s="5"/>
      <c r="GH533" s="5"/>
      <c r="GI533" s="5"/>
      <c r="GJ533" s="5"/>
      <c r="GK533" s="5"/>
      <c r="GL533" s="5"/>
      <c r="GM533" s="5"/>
      <c r="GN533" s="5"/>
      <c r="GO533" s="5"/>
      <c r="GP533" s="5"/>
      <c r="GQ533" s="5"/>
      <c r="GR533" s="5"/>
      <c r="GS533" s="5"/>
      <c r="GT533" s="5"/>
      <c r="GU533" s="5"/>
      <c r="GV533" s="5"/>
      <c r="GW533" s="5"/>
      <c r="GX533" s="5"/>
      <c r="GY533" s="5"/>
      <c r="GZ533" s="5"/>
      <c r="HA533" s="5"/>
      <c r="HB533" s="5"/>
      <c r="HC533" s="5"/>
      <c r="HD533" s="5"/>
      <c r="HE533" s="5"/>
      <c r="HF533" s="5"/>
      <c r="HG533" s="5"/>
      <c r="HH533" s="5"/>
      <c r="HI533" s="5"/>
      <c r="HJ533" s="5"/>
      <c r="HK533" s="5"/>
      <c r="HL533" s="5"/>
      <c r="HM533" s="5"/>
      <c r="HN533" s="5"/>
      <c r="HO533" s="5"/>
      <c r="HP533" s="5"/>
      <c r="HQ533" s="5"/>
      <c r="HR533" s="5"/>
      <c r="HS533" s="5"/>
      <c r="HT533" s="5"/>
      <c r="HU533" s="5"/>
      <c r="HV533" s="5"/>
    </row>
    <row r="534" spans="21:230" ht="12.75">
      <c r="U534" s="5"/>
      <c r="V534" s="5"/>
      <c r="W534" s="5"/>
      <c r="X534" s="5"/>
      <c r="Y534" s="5"/>
      <c r="AA534" s="5"/>
      <c r="AB534" s="5"/>
      <c r="AC534" s="5"/>
      <c r="AD534" s="5"/>
      <c r="AE534" s="5"/>
      <c r="AY534" s="5"/>
      <c r="AZ534" s="5"/>
      <c r="BA534" s="5"/>
      <c r="BB534" s="5"/>
      <c r="BC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  <c r="GB534" s="5"/>
      <c r="GC534" s="5"/>
      <c r="GD534" s="5"/>
      <c r="GE534" s="5"/>
      <c r="GF534" s="5"/>
      <c r="GG534" s="5"/>
      <c r="GH534" s="5"/>
      <c r="GI534" s="5"/>
      <c r="GJ534" s="5"/>
      <c r="GK534" s="5"/>
      <c r="GL534" s="5"/>
      <c r="GM534" s="5"/>
      <c r="GN534" s="5"/>
      <c r="GO534" s="5"/>
      <c r="GP534" s="5"/>
      <c r="GQ534" s="5"/>
      <c r="GR534" s="5"/>
      <c r="GS534" s="5"/>
      <c r="GT534" s="5"/>
      <c r="GU534" s="5"/>
      <c r="GV534" s="5"/>
      <c r="GW534" s="5"/>
      <c r="GX534" s="5"/>
      <c r="GY534" s="5"/>
      <c r="GZ534" s="5"/>
      <c r="HA534" s="5"/>
      <c r="HB534" s="5"/>
      <c r="HC534" s="5"/>
      <c r="HD534" s="5"/>
      <c r="HE534" s="5"/>
      <c r="HF534" s="5"/>
      <c r="HG534" s="5"/>
      <c r="HH534" s="5"/>
      <c r="HI534" s="5"/>
      <c r="HJ534" s="5"/>
      <c r="HK534" s="5"/>
      <c r="HL534" s="5"/>
      <c r="HM534" s="5"/>
      <c r="HN534" s="5"/>
      <c r="HO534" s="5"/>
      <c r="HP534" s="5"/>
      <c r="HQ534" s="5"/>
      <c r="HR534" s="5"/>
      <c r="HS534" s="5"/>
      <c r="HT534" s="5"/>
      <c r="HU534" s="5"/>
      <c r="HV534" s="5"/>
    </row>
    <row r="535" spans="21:230" ht="12.75">
      <c r="U535" s="5"/>
      <c r="V535" s="5"/>
      <c r="W535" s="5"/>
      <c r="X535" s="5"/>
      <c r="Y535" s="5"/>
      <c r="AA535" s="5"/>
      <c r="AB535" s="5"/>
      <c r="AC535" s="5"/>
      <c r="AD535" s="5"/>
      <c r="AE535" s="5"/>
      <c r="AY535" s="5"/>
      <c r="AZ535" s="5"/>
      <c r="BA535" s="5"/>
      <c r="BB535" s="5"/>
      <c r="BC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  <c r="GF535" s="5"/>
      <c r="GG535" s="5"/>
      <c r="GH535" s="5"/>
      <c r="GI535" s="5"/>
      <c r="GJ535" s="5"/>
      <c r="GK535" s="5"/>
      <c r="GL535" s="5"/>
      <c r="GM535" s="5"/>
      <c r="GN535" s="5"/>
      <c r="GO535" s="5"/>
      <c r="GP535" s="5"/>
      <c r="GQ535" s="5"/>
      <c r="GR535" s="5"/>
      <c r="GS535" s="5"/>
      <c r="GT535" s="5"/>
      <c r="GU535" s="5"/>
      <c r="GV535" s="5"/>
      <c r="GW535" s="5"/>
      <c r="GX535" s="5"/>
      <c r="GY535" s="5"/>
      <c r="GZ535" s="5"/>
      <c r="HA535" s="5"/>
      <c r="HB535" s="5"/>
      <c r="HC535" s="5"/>
      <c r="HD535" s="5"/>
      <c r="HE535" s="5"/>
      <c r="HF535" s="5"/>
      <c r="HG535" s="5"/>
      <c r="HH535" s="5"/>
      <c r="HI535" s="5"/>
      <c r="HJ535" s="5"/>
      <c r="HK535" s="5"/>
      <c r="HL535" s="5"/>
      <c r="HM535" s="5"/>
      <c r="HN535" s="5"/>
      <c r="HO535" s="5"/>
      <c r="HP535" s="5"/>
      <c r="HQ535" s="5"/>
      <c r="HR535" s="5"/>
      <c r="HS535" s="5"/>
      <c r="HT535" s="5"/>
      <c r="HU535" s="5"/>
      <c r="HV535" s="5"/>
    </row>
    <row r="536" spans="21:230" ht="12.75">
      <c r="U536" s="5"/>
      <c r="V536" s="5"/>
      <c r="W536" s="5"/>
      <c r="X536" s="5"/>
      <c r="Y536" s="5"/>
      <c r="AA536" s="5"/>
      <c r="AB536" s="5"/>
      <c r="AC536" s="5"/>
      <c r="AD536" s="5"/>
      <c r="AE536" s="5"/>
      <c r="AY536" s="5"/>
      <c r="AZ536" s="5"/>
      <c r="BA536" s="5"/>
      <c r="BB536" s="5"/>
      <c r="BC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  <c r="GL536" s="5"/>
      <c r="GM536" s="5"/>
      <c r="GN536" s="5"/>
      <c r="GO536" s="5"/>
      <c r="GP536" s="5"/>
      <c r="GQ536" s="5"/>
      <c r="GR536" s="5"/>
      <c r="GS536" s="5"/>
      <c r="GT536" s="5"/>
      <c r="GU536" s="5"/>
      <c r="GV536" s="5"/>
      <c r="GW536" s="5"/>
      <c r="GX536" s="5"/>
      <c r="GY536" s="5"/>
      <c r="GZ536" s="5"/>
      <c r="HA536" s="5"/>
      <c r="HB536" s="5"/>
      <c r="HC536" s="5"/>
      <c r="HD536" s="5"/>
      <c r="HE536" s="5"/>
      <c r="HF536" s="5"/>
      <c r="HG536" s="5"/>
      <c r="HH536" s="5"/>
      <c r="HI536" s="5"/>
      <c r="HJ536" s="5"/>
      <c r="HK536" s="5"/>
      <c r="HL536" s="5"/>
      <c r="HM536" s="5"/>
      <c r="HN536" s="5"/>
      <c r="HO536" s="5"/>
      <c r="HP536" s="5"/>
      <c r="HQ536" s="5"/>
      <c r="HR536" s="5"/>
      <c r="HS536" s="5"/>
      <c r="HT536" s="5"/>
      <c r="HU536" s="5"/>
      <c r="HV536" s="5"/>
    </row>
    <row r="537" spans="21:230" ht="12.75">
      <c r="U537" s="5"/>
      <c r="V537" s="5"/>
      <c r="W537" s="5"/>
      <c r="X537" s="5"/>
      <c r="Y537" s="5"/>
      <c r="AA537" s="5"/>
      <c r="AB537" s="5"/>
      <c r="AC537" s="5"/>
      <c r="AD537" s="5"/>
      <c r="AE537" s="5"/>
      <c r="AY537" s="5"/>
      <c r="AZ537" s="5"/>
      <c r="BA537" s="5"/>
      <c r="BB537" s="5"/>
      <c r="BC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  <c r="GB537" s="5"/>
      <c r="GC537" s="5"/>
      <c r="GD537" s="5"/>
      <c r="GE537" s="5"/>
      <c r="GF537" s="5"/>
      <c r="GG537" s="5"/>
      <c r="GH537" s="5"/>
      <c r="GI537" s="5"/>
      <c r="GJ537" s="5"/>
      <c r="GK537" s="5"/>
      <c r="GL537" s="5"/>
      <c r="GM537" s="5"/>
      <c r="GN537" s="5"/>
      <c r="GO537" s="5"/>
      <c r="GP537" s="5"/>
      <c r="GQ537" s="5"/>
      <c r="GR537" s="5"/>
      <c r="GS537" s="5"/>
      <c r="GT537" s="5"/>
      <c r="GU537" s="5"/>
      <c r="GV537" s="5"/>
      <c r="GW537" s="5"/>
      <c r="GX537" s="5"/>
      <c r="GY537" s="5"/>
      <c r="GZ537" s="5"/>
      <c r="HA537" s="5"/>
      <c r="HB537" s="5"/>
      <c r="HC537" s="5"/>
      <c r="HD537" s="5"/>
      <c r="HE537" s="5"/>
      <c r="HF537" s="5"/>
      <c r="HG537" s="5"/>
      <c r="HH537" s="5"/>
      <c r="HI537" s="5"/>
      <c r="HJ537" s="5"/>
      <c r="HK537" s="5"/>
      <c r="HL537" s="5"/>
      <c r="HM537" s="5"/>
      <c r="HN537" s="5"/>
      <c r="HO537" s="5"/>
      <c r="HP537" s="5"/>
      <c r="HQ537" s="5"/>
      <c r="HR537" s="5"/>
      <c r="HS537" s="5"/>
      <c r="HT537" s="5"/>
      <c r="HU537" s="5"/>
      <c r="HV537" s="5"/>
    </row>
    <row r="538" spans="21:230" ht="12.75">
      <c r="U538" s="5"/>
      <c r="V538" s="5"/>
      <c r="W538" s="5"/>
      <c r="X538" s="5"/>
      <c r="Y538" s="5"/>
      <c r="AA538" s="5"/>
      <c r="AB538" s="5"/>
      <c r="AC538" s="5"/>
      <c r="AD538" s="5"/>
      <c r="AE538" s="5"/>
      <c r="AY538" s="5"/>
      <c r="AZ538" s="5"/>
      <c r="BA538" s="5"/>
      <c r="BB538" s="5"/>
      <c r="BC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  <c r="GB538" s="5"/>
      <c r="GC538" s="5"/>
      <c r="GD538" s="5"/>
      <c r="GE538" s="5"/>
      <c r="GF538" s="5"/>
      <c r="GG538" s="5"/>
      <c r="GH538" s="5"/>
      <c r="GI538" s="5"/>
      <c r="GJ538" s="5"/>
      <c r="GK538" s="5"/>
      <c r="GL538" s="5"/>
      <c r="GM538" s="5"/>
      <c r="GN538" s="5"/>
      <c r="GO538" s="5"/>
      <c r="GP538" s="5"/>
      <c r="GQ538" s="5"/>
      <c r="GR538" s="5"/>
      <c r="GS538" s="5"/>
      <c r="GT538" s="5"/>
      <c r="GU538" s="5"/>
      <c r="GV538" s="5"/>
      <c r="GW538" s="5"/>
      <c r="GX538" s="5"/>
      <c r="GY538" s="5"/>
      <c r="GZ538" s="5"/>
      <c r="HA538" s="5"/>
      <c r="HB538" s="5"/>
      <c r="HC538" s="5"/>
      <c r="HD538" s="5"/>
      <c r="HE538" s="5"/>
      <c r="HF538" s="5"/>
      <c r="HG538" s="5"/>
      <c r="HH538" s="5"/>
      <c r="HI538" s="5"/>
      <c r="HJ538" s="5"/>
      <c r="HK538" s="5"/>
      <c r="HL538" s="5"/>
      <c r="HM538" s="5"/>
      <c r="HN538" s="5"/>
      <c r="HO538" s="5"/>
      <c r="HP538" s="5"/>
      <c r="HQ538" s="5"/>
      <c r="HR538" s="5"/>
      <c r="HS538" s="5"/>
      <c r="HT538" s="5"/>
      <c r="HU538" s="5"/>
      <c r="HV538" s="5"/>
    </row>
    <row r="539" spans="21:230" ht="12.75">
      <c r="U539" s="5"/>
      <c r="V539" s="5"/>
      <c r="W539" s="5"/>
      <c r="X539" s="5"/>
      <c r="Y539" s="5"/>
      <c r="AA539" s="5"/>
      <c r="AB539" s="5"/>
      <c r="AC539" s="5"/>
      <c r="AD539" s="5"/>
      <c r="AE539" s="5"/>
      <c r="AY539" s="5"/>
      <c r="AZ539" s="5"/>
      <c r="BA539" s="5"/>
      <c r="BB539" s="5"/>
      <c r="BC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  <c r="GB539" s="5"/>
      <c r="GC539" s="5"/>
      <c r="GD539" s="5"/>
      <c r="GE539" s="5"/>
      <c r="GF539" s="5"/>
      <c r="GG539" s="5"/>
      <c r="GH539" s="5"/>
      <c r="GI539" s="5"/>
      <c r="GJ539" s="5"/>
      <c r="GK539" s="5"/>
      <c r="GL539" s="5"/>
      <c r="GM539" s="5"/>
      <c r="GN539" s="5"/>
      <c r="GO539" s="5"/>
      <c r="GP539" s="5"/>
      <c r="GQ539" s="5"/>
      <c r="GR539" s="5"/>
      <c r="GS539" s="5"/>
      <c r="GT539" s="5"/>
      <c r="GU539" s="5"/>
      <c r="GV539" s="5"/>
      <c r="GW539" s="5"/>
      <c r="GX539" s="5"/>
      <c r="GY539" s="5"/>
      <c r="GZ539" s="5"/>
      <c r="HA539" s="5"/>
      <c r="HB539" s="5"/>
      <c r="HC539" s="5"/>
      <c r="HD539" s="5"/>
      <c r="HE539" s="5"/>
      <c r="HF539" s="5"/>
      <c r="HG539" s="5"/>
      <c r="HH539" s="5"/>
      <c r="HI539" s="5"/>
      <c r="HJ539" s="5"/>
      <c r="HK539" s="5"/>
      <c r="HL539" s="5"/>
      <c r="HM539" s="5"/>
      <c r="HN539" s="5"/>
      <c r="HO539" s="5"/>
      <c r="HP539" s="5"/>
      <c r="HQ539" s="5"/>
      <c r="HR539" s="5"/>
      <c r="HS539" s="5"/>
      <c r="HT539" s="5"/>
      <c r="HU539" s="5"/>
      <c r="HV539" s="5"/>
    </row>
    <row r="540" spans="21:230" ht="12.75">
      <c r="U540" s="5"/>
      <c r="V540" s="5"/>
      <c r="W540" s="5"/>
      <c r="X540" s="5"/>
      <c r="Y540" s="5"/>
      <c r="AA540" s="5"/>
      <c r="AB540" s="5"/>
      <c r="AC540" s="5"/>
      <c r="AD540" s="5"/>
      <c r="AE540" s="5"/>
      <c r="AY540" s="5"/>
      <c r="AZ540" s="5"/>
      <c r="BA540" s="5"/>
      <c r="BB540" s="5"/>
      <c r="BC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  <c r="GB540" s="5"/>
      <c r="GC540" s="5"/>
      <c r="GD540" s="5"/>
      <c r="GE540" s="5"/>
      <c r="GF540" s="5"/>
      <c r="GG540" s="5"/>
      <c r="GH540" s="5"/>
      <c r="GI540" s="5"/>
      <c r="GJ540" s="5"/>
      <c r="GK540" s="5"/>
      <c r="GL540" s="5"/>
      <c r="GM540" s="5"/>
      <c r="GN540" s="5"/>
      <c r="GO540" s="5"/>
      <c r="GP540" s="5"/>
      <c r="GQ540" s="5"/>
      <c r="GR540" s="5"/>
      <c r="GS540" s="5"/>
      <c r="GT540" s="5"/>
      <c r="GU540" s="5"/>
      <c r="GV540" s="5"/>
      <c r="GW540" s="5"/>
      <c r="GX540" s="5"/>
      <c r="GY540" s="5"/>
      <c r="GZ540" s="5"/>
      <c r="HA540" s="5"/>
      <c r="HB540" s="5"/>
      <c r="HC540" s="5"/>
      <c r="HD540" s="5"/>
      <c r="HE540" s="5"/>
      <c r="HF540" s="5"/>
      <c r="HG540" s="5"/>
      <c r="HH540" s="5"/>
      <c r="HI540" s="5"/>
      <c r="HJ540" s="5"/>
      <c r="HK540" s="5"/>
      <c r="HL540" s="5"/>
      <c r="HM540" s="5"/>
      <c r="HN540" s="5"/>
      <c r="HO540" s="5"/>
      <c r="HP540" s="5"/>
      <c r="HQ540" s="5"/>
      <c r="HR540" s="5"/>
      <c r="HS540" s="5"/>
      <c r="HT540" s="5"/>
      <c r="HU540" s="5"/>
      <c r="HV540" s="5"/>
    </row>
    <row r="541" spans="21:230" ht="12.75">
      <c r="U541" s="5"/>
      <c r="V541" s="5"/>
      <c r="W541" s="5"/>
      <c r="X541" s="5"/>
      <c r="Y541" s="5"/>
      <c r="AA541" s="5"/>
      <c r="AB541" s="5"/>
      <c r="AC541" s="5"/>
      <c r="AD541" s="5"/>
      <c r="AE541" s="5"/>
      <c r="AY541" s="5"/>
      <c r="AZ541" s="5"/>
      <c r="BA541" s="5"/>
      <c r="BB541" s="5"/>
      <c r="BC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  <c r="GB541" s="5"/>
      <c r="GC541" s="5"/>
      <c r="GD541" s="5"/>
      <c r="GE541" s="5"/>
      <c r="GF541" s="5"/>
      <c r="GG541" s="5"/>
      <c r="GH541" s="5"/>
      <c r="GI541" s="5"/>
      <c r="GJ541" s="5"/>
      <c r="GK541" s="5"/>
      <c r="GL541" s="5"/>
      <c r="GM541" s="5"/>
      <c r="GN541" s="5"/>
      <c r="GO541" s="5"/>
      <c r="GP541" s="5"/>
      <c r="GQ541" s="5"/>
      <c r="GR541" s="5"/>
      <c r="GS541" s="5"/>
      <c r="GT541" s="5"/>
      <c r="GU541" s="5"/>
      <c r="GV541" s="5"/>
      <c r="GW541" s="5"/>
      <c r="GX541" s="5"/>
      <c r="GY541" s="5"/>
      <c r="GZ541" s="5"/>
      <c r="HA541" s="5"/>
      <c r="HB541" s="5"/>
      <c r="HC541" s="5"/>
      <c r="HD541" s="5"/>
      <c r="HE541" s="5"/>
      <c r="HF541" s="5"/>
      <c r="HG541" s="5"/>
      <c r="HH541" s="5"/>
      <c r="HI541" s="5"/>
      <c r="HJ541" s="5"/>
      <c r="HK541" s="5"/>
      <c r="HL541" s="5"/>
      <c r="HM541" s="5"/>
      <c r="HN541" s="5"/>
      <c r="HO541" s="5"/>
      <c r="HP541" s="5"/>
      <c r="HQ541" s="5"/>
      <c r="HR541" s="5"/>
      <c r="HS541" s="5"/>
      <c r="HT541" s="5"/>
      <c r="HU541" s="5"/>
      <c r="HV541" s="5"/>
    </row>
    <row r="542" spans="21:230" ht="12.75">
      <c r="U542" s="5"/>
      <c r="V542" s="5"/>
      <c r="W542" s="5"/>
      <c r="X542" s="5"/>
      <c r="Y542" s="5"/>
      <c r="AA542" s="5"/>
      <c r="AB542" s="5"/>
      <c r="AC542" s="5"/>
      <c r="AD542" s="5"/>
      <c r="AE542" s="5"/>
      <c r="AY542" s="5"/>
      <c r="AZ542" s="5"/>
      <c r="BA542" s="5"/>
      <c r="BB542" s="5"/>
      <c r="BC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  <c r="GB542" s="5"/>
      <c r="GC542" s="5"/>
      <c r="GD542" s="5"/>
      <c r="GE542" s="5"/>
      <c r="GF542" s="5"/>
      <c r="GG542" s="5"/>
      <c r="GH542" s="5"/>
      <c r="GI542" s="5"/>
      <c r="GJ542" s="5"/>
      <c r="GK542" s="5"/>
      <c r="GL542" s="5"/>
      <c r="GM542" s="5"/>
      <c r="GN542" s="5"/>
      <c r="GO542" s="5"/>
      <c r="GP542" s="5"/>
      <c r="GQ542" s="5"/>
      <c r="GR542" s="5"/>
      <c r="GS542" s="5"/>
      <c r="GT542" s="5"/>
      <c r="GU542" s="5"/>
      <c r="GV542" s="5"/>
      <c r="GW542" s="5"/>
      <c r="GX542" s="5"/>
      <c r="GY542" s="5"/>
      <c r="GZ542" s="5"/>
      <c r="HA542" s="5"/>
      <c r="HB542" s="5"/>
      <c r="HC542" s="5"/>
      <c r="HD542" s="5"/>
      <c r="HE542" s="5"/>
      <c r="HF542" s="5"/>
      <c r="HG542" s="5"/>
      <c r="HH542" s="5"/>
      <c r="HI542" s="5"/>
      <c r="HJ542" s="5"/>
      <c r="HK542" s="5"/>
      <c r="HL542" s="5"/>
      <c r="HM542" s="5"/>
      <c r="HN542" s="5"/>
      <c r="HO542" s="5"/>
      <c r="HP542" s="5"/>
      <c r="HQ542" s="5"/>
      <c r="HR542" s="5"/>
      <c r="HS542" s="5"/>
      <c r="HT542" s="5"/>
      <c r="HU542" s="5"/>
      <c r="HV542" s="5"/>
    </row>
    <row r="543" spans="21:230" ht="12.75">
      <c r="U543" s="5"/>
      <c r="V543" s="5"/>
      <c r="W543" s="5"/>
      <c r="X543" s="5"/>
      <c r="Y543" s="5"/>
      <c r="AA543" s="5"/>
      <c r="AB543" s="5"/>
      <c r="AC543" s="5"/>
      <c r="AD543" s="5"/>
      <c r="AE543" s="5"/>
      <c r="AY543" s="5"/>
      <c r="AZ543" s="5"/>
      <c r="BA543" s="5"/>
      <c r="BB543" s="5"/>
      <c r="BC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  <c r="GL543" s="5"/>
      <c r="GM543" s="5"/>
      <c r="GN543" s="5"/>
      <c r="GO543" s="5"/>
      <c r="GP543" s="5"/>
      <c r="GQ543" s="5"/>
      <c r="GR543" s="5"/>
      <c r="GS543" s="5"/>
      <c r="GT543" s="5"/>
      <c r="GU543" s="5"/>
      <c r="GV543" s="5"/>
      <c r="GW543" s="5"/>
      <c r="GX543" s="5"/>
      <c r="GY543" s="5"/>
      <c r="GZ543" s="5"/>
      <c r="HA543" s="5"/>
      <c r="HB543" s="5"/>
      <c r="HC543" s="5"/>
      <c r="HD543" s="5"/>
      <c r="HE543" s="5"/>
      <c r="HF543" s="5"/>
      <c r="HG543" s="5"/>
      <c r="HH543" s="5"/>
      <c r="HI543" s="5"/>
      <c r="HJ543" s="5"/>
      <c r="HK543" s="5"/>
      <c r="HL543" s="5"/>
      <c r="HM543" s="5"/>
      <c r="HN543" s="5"/>
      <c r="HO543" s="5"/>
      <c r="HP543" s="5"/>
      <c r="HQ543" s="5"/>
      <c r="HR543" s="5"/>
      <c r="HS543" s="5"/>
      <c r="HT543" s="5"/>
      <c r="HU543" s="5"/>
      <c r="HV543" s="5"/>
    </row>
    <row r="544" spans="21:230" ht="12.75">
      <c r="U544" s="5"/>
      <c r="V544" s="5"/>
      <c r="W544" s="5"/>
      <c r="X544" s="5"/>
      <c r="Y544" s="5"/>
      <c r="AA544" s="5"/>
      <c r="AB544" s="5"/>
      <c r="AC544" s="5"/>
      <c r="AD544" s="5"/>
      <c r="AE544" s="5"/>
      <c r="AY544" s="5"/>
      <c r="AZ544" s="5"/>
      <c r="BA544" s="5"/>
      <c r="BB544" s="5"/>
      <c r="BC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  <c r="GB544" s="5"/>
      <c r="GC544" s="5"/>
      <c r="GD544" s="5"/>
      <c r="GE544" s="5"/>
      <c r="GF544" s="5"/>
      <c r="GG544" s="5"/>
      <c r="GH544" s="5"/>
      <c r="GI544" s="5"/>
      <c r="GJ544" s="5"/>
      <c r="GK544" s="5"/>
      <c r="GL544" s="5"/>
      <c r="GM544" s="5"/>
      <c r="GN544" s="5"/>
      <c r="GO544" s="5"/>
      <c r="GP544" s="5"/>
      <c r="GQ544" s="5"/>
      <c r="GR544" s="5"/>
      <c r="GS544" s="5"/>
      <c r="GT544" s="5"/>
      <c r="GU544" s="5"/>
      <c r="GV544" s="5"/>
      <c r="GW544" s="5"/>
      <c r="GX544" s="5"/>
      <c r="GY544" s="5"/>
      <c r="GZ544" s="5"/>
      <c r="HA544" s="5"/>
      <c r="HB544" s="5"/>
      <c r="HC544" s="5"/>
      <c r="HD544" s="5"/>
      <c r="HE544" s="5"/>
      <c r="HF544" s="5"/>
      <c r="HG544" s="5"/>
      <c r="HH544" s="5"/>
      <c r="HI544" s="5"/>
      <c r="HJ544" s="5"/>
      <c r="HK544" s="5"/>
      <c r="HL544" s="5"/>
      <c r="HM544" s="5"/>
      <c r="HN544" s="5"/>
      <c r="HO544" s="5"/>
      <c r="HP544" s="5"/>
      <c r="HQ544" s="5"/>
      <c r="HR544" s="5"/>
      <c r="HS544" s="5"/>
      <c r="HT544" s="5"/>
      <c r="HU544" s="5"/>
      <c r="HV544" s="5"/>
    </row>
    <row r="545" spans="21:230" ht="12.75">
      <c r="U545" s="5"/>
      <c r="V545" s="5"/>
      <c r="W545" s="5"/>
      <c r="X545" s="5"/>
      <c r="Y545" s="5"/>
      <c r="AA545" s="5"/>
      <c r="AB545" s="5"/>
      <c r="AC545" s="5"/>
      <c r="AD545" s="5"/>
      <c r="AE545" s="5"/>
      <c r="AY545" s="5"/>
      <c r="AZ545" s="5"/>
      <c r="BA545" s="5"/>
      <c r="BB545" s="5"/>
      <c r="BC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  <c r="GL545" s="5"/>
      <c r="GM545" s="5"/>
      <c r="GN545" s="5"/>
      <c r="GO545" s="5"/>
      <c r="GP545" s="5"/>
      <c r="GQ545" s="5"/>
      <c r="GR545" s="5"/>
      <c r="GS545" s="5"/>
      <c r="GT545" s="5"/>
      <c r="GU545" s="5"/>
      <c r="GV545" s="5"/>
      <c r="GW545" s="5"/>
      <c r="GX545" s="5"/>
      <c r="GY545" s="5"/>
      <c r="GZ545" s="5"/>
      <c r="HA545" s="5"/>
      <c r="HB545" s="5"/>
      <c r="HC545" s="5"/>
      <c r="HD545" s="5"/>
      <c r="HE545" s="5"/>
      <c r="HF545" s="5"/>
      <c r="HG545" s="5"/>
      <c r="HH545" s="5"/>
      <c r="HI545" s="5"/>
      <c r="HJ545" s="5"/>
      <c r="HK545" s="5"/>
      <c r="HL545" s="5"/>
      <c r="HM545" s="5"/>
      <c r="HN545" s="5"/>
      <c r="HO545" s="5"/>
      <c r="HP545" s="5"/>
      <c r="HQ545" s="5"/>
      <c r="HR545" s="5"/>
      <c r="HS545" s="5"/>
      <c r="HT545" s="5"/>
      <c r="HU545" s="5"/>
      <c r="HV545" s="5"/>
    </row>
    <row r="546" spans="21:230" ht="12.75">
      <c r="U546" s="5"/>
      <c r="V546" s="5"/>
      <c r="W546" s="5"/>
      <c r="X546" s="5"/>
      <c r="Y546" s="5"/>
      <c r="AA546" s="5"/>
      <c r="AB546" s="5"/>
      <c r="AC546" s="5"/>
      <c r="AD546" s="5"/>
      <c r="AE546" s="5"/>
      <c r="AY546" s="5"/>
      <c r="AZ546" s="5"/>
      <c r="BA546" s="5"/>
      <c r="BB546" s="5"/>
      <c r="BC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  <c r="GL546" s="5"/>
      <c r="GM546" s="5"/>
      <c r="GN546" s="5"/>
      <c r="GO546" s="5"/>
      <c r="GP546" s="5"/>
      <c r="GQ546" s="5"/>
      <c r="GR546" s="5"/>
      <c r="GS546" s="5"/>
      <c r="GT546" s="5"/>
      <c r="GU546" s="5"/>
      <c r="GV546" s="5"/>
      <c r="GW546" s="5"/>
      <c r="GX546" s="5"/>
      <c r="GY546" s="5"/>
      <c r="GZ546" s="5"/>
      <c r="HA546" s="5"/>
      <c r="HB546" s="5"/>
      <c r="HC546" s="5"/>
      <c r="HD546" s="5"/>
      <c r="HE546" s="5"/>
      <c r="HF546" s="5"/>
      <c r="HG546" s="5"/>
      <c r="HH546" s="5"/>
      <c r="HI546" s="5"/>
      <c r="HJ546" s="5"/>
      <c r="HK546" s="5"/>
      <c r="HL546" s="5"/>
      <c r="HM546" s="5"/>
      <c r="HN546" s="5"/>
      <c r="HO546" s="5"/>
      <c r="HP546" s="5"/>
      <c r="HQ546" s="5"/>
      <c r="HR546" s="5"/>
      <c r="HS546" s="5"/>
      <c r="HT546" s="5"/>
      <c r="HU546" s="5"/>
      <c r="HV546" s="5"/>
    </row>
    <row r="547" spans="21:230" ht="12.75">
      <c r="U547" s="5"/>
      <c r="V547" s="5"/>
      <c r="W547" s="5"/>
      <c r="X547" s="5"/>
      <c r="Y547" s="5"/>
      <c r="AA547" s="5"/>
      <c r="AB547" s="5"/>
      <c r="AC547" s="5"/>
      <c r="AD547" s="5"/>
      <c r="AE547" s="5"/>
      <c r="AY547" s="5"/>
      <c r="AZ547" s="5"/>
      <c r="BA547" s="5"/>
      <c r="BB547" s="5"/>
      <c r="BC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  <c r="GB547" s="5"/>
      <c r="GC547" s="5"/>
      <c r="GD547" s="5"/>
      <c r="GE547" s="5"/>
      <c r="GF547" s="5"/>
      <c r="GG547" s="5"/>
      <c r="GH547" s="5"/>
      <c r="GI547" s="5"/>
      <c r="GJ547" s="5"/>
      <c r="GK547" s="5"/>
      <c r="GL547" s="5"/>
      <c r="GM547" s="5"/>
      <c r="GN547" s="5"/>
      <c r="GO547" s="5"/>
      <c r="GP547" s="5"/>
      <c r="GQ547" s="5"/>
      <c r="GR547" s="5"/>
      <c r="GS547" s="5"/>
      <c r="GT547" s="5"/>
      <c r="GU547" s="5"/>
      <c r="GV547" s="5"/>
      <c r="GW547" s="5"/>
      <c r="GX547" s="5"/>
      <c r="GY547" s="5"/>
      <c r="GZ547" s="5"/>
      <c r="HA547" s="5"/>
      <c r="HB547" s="5"/>
      <c r="HC547" s="5"/>
      <c r="HD547" s="5"/>
      <c r="HE547" s="5"/>
      <c r="HF547" s="5"/>
      <c r="HG547" s="5"/>
      <c r="HH547" s="5"/>
      <c r="HI547" s="5"/>
      <c r="HJ547" s="5"/>
      <c r="HK547" s="5"/>
      <c r="HL547" s="5"/>
      <c r="HM547" s="5"/>
      <c r="HN547" s="5"/>
      <c r="HO547" s="5"/>
      <c r="HP547" s="5"/>
      <c r="HQ547" s="5"/>
      <c r="HR547" s="5"/>
      <c r="HS547" s="5"/>
      <c r="HT547" s="5"/>
      <c r="HU547" s="5"/>
      <c r="HV547" s="5"/>
    </row>
    <row r="548" spans="21:230" ht="12.75">
      <c r="U548" s="5"/>
      <c r="V548" s="5"/>
      <c r="W548" s="5"/>
      <c r="X548" s="5"/>
      <c r="Y548" s="5"/>
      <c r="AA548" s="5"/>
      <c r="AB548" s="5"/>
      <c r="AC548" s="5"/>
      <c r="AD548" s="5"/>
      <c r="AE548" s="5"/>
      <c r="AY548" s="5"/>
      <c r="AZ548" s="5"/>
      <c r="BA548" s="5"/>
      <c r="BB548" s="5"/>
      <c r="BC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  <c r="GL548" s="5"/>
      <c r="GM548" s="5"/>
      <c r="GN548" s="5"/>
      <c r="GO548" s="5"/>
      <c r="GP548" s="5"/>
      <c r="GQ548" s="5"/>
      <c r="GR548" s="5"/>
      <c r="GS548" s="5"/>
      <c r="GT548" s="5"/>
      <c r="GU548" s="5"/>
      <c r="GV548" s="5"/>
      <c r="GW548" s="5"/>
      <c r="GX548" s="5"/>
      <c r="GY548" s="5"/>
      <c r="GZ548" s="5"/>
      <c r="HA548" s="5"/>
      <c r="HB548" s="5"/>
      <c r="HC548" s="5"/>
      <c r="HD548" s="5"/>
      <c r="HE548" s="5"/>
      <c r="HF548" s="5"/>
      <c r="HG548" s="5"/>
      <c r="HH548" s="5"/>
      <c r="HI548" s="5"/>
      <c r="HJ548" s="5"/>
      <c r="HK548" s="5"/>
      <c r="HL548" s="5"/>
      <c r="HM548" s="5"/>
      <c r="HN548" s="5"/>
      <c r="HO548" s="5"/>
      <c r="HP548" s="5"/>
      <c r="HQ548" s="5"/>
      <c r="HR548" s="5"/>
      <c r="HS548" s="5"/>
      <c r="HT548" s="5"/>
      <c r="HU548" s="5"/>
      <c r="HV548" s="5"/>
    </row>
    <row r="549" spans="21:230" ht="12.75">
      <c r="U549" s="5"/>
      <c r="V549" s="5"/>
      <c r="W549" s="5"/>
      <c r="X549" s="5"/>
      <c r="Y549" s="5"/>
      <c r="AA549" s="5"/>
      <c r="AB549" s="5"/>
      <c r="AC549" s="5"/>
      <c r="AD549" s="5"/>
      <c r="AE549" s="5"/>
      <c r="AY549" s="5"/>
      <c r="AZ549" s="5"/>
      <c r="BA549" s="5"/>
      <c r="BB549" s="5"/>
      <c r="BC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  <c r="GL549" s="5"/>
      <c r="GM549" s="5"/>
      <c r="GN549" s="5"/>
      <c r="GO549" s="5"/>
      <c r="GP549" s="5"/>
      <c r="GQ549" s="5"/>
      <c r="GR549" s="5"/>
      <c r="GS549" s="5"/>
      <c r="GT549" s="5"/>
      <c r="GU549" s="5"/>
      <c r="GV549" s="5"/>
      <c r="GW549" s="5"/>
      <c r="GX549" s="5"/>
      <c r="GY549" s="5"/>
      <c r="GZ549" s="5"/>
      <c r="HA549" s="5"/>
      <c r="HB549" s="5"/>
      <c r="HC549" s="5"/>
      <c r="HD549" s="5"/>
      <c r="HE549" s="5"/>
      <c r="HF549" s="5"/>
      <c r="HG549" s="5"/>
      <c r="HH549" s="5"/>
      <c r="HI549" s="5"/>
      <c r="HJ549" s="5"/>
      <c r="HK549" s="5"/>
      <c r="HL549" s="5"/>
      <c r="HM549" s="5"/>
      <c r="HN549" s="5"/>
      <c r="HO549" s="5"/>
      <c r="HP549" s="5"/>
      <c r="HQ549" s="5"/>
      <c r="HR549" s="5"/>
      <c r="HS549" s="5"/>
      <c r="HT549" s="5"/>
      <c r="HU549" s="5"/>
      <c r="HV549" s="5"/>
    </row>
    <row r="550" spans="21:230" ht="12.75">
      <c r="U550" s="5"/>
      <c r="V550" s="5"/>
      <c r="W550" s="5"/>
      <c r="X550" s="5"/>
      <c r="Y550" s="5"/>
      <c r="AA550" s="5"/>
      <c r="AB550" s="5"/>
      <c r="AC550" s="5"/>
      <c r="AD550" s="5"/>
      <c r="AE550" s="5"/>
      <c r="AY550" s="5"/>
      <c r="AZ550" s="5"/>
      <c r="BA550" s="5"/>
      <c r="BB550" s="5"/>
      <c r="BC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  <c r="GL550" s="5"/>
      <c r="GM550" s="5"/>
      <c r="GN550" s="5"/>
      <c r="GO550" s="5"/>
      <c r="GP550" s="5"/>
      <c r="GQ550" s="5"/>
      <c r="GR550" s="5"/>
      <c r="GS550" s="5"/>
      <c r="GT550" s="5"/>
      <c r="GU550" s="5"/>
      <c r="GV550" s="5"/>
      <c r="GW550" s="5"/>
      <c r="GX550" s="5"/>
      <c r="GY550" s="5"/>
      <c r="GZ550" s="5"/>
      <c r="HA550" s="5"/>
      <c r="HB550" s="5"/>
      <c r="HC550" s="5"/>
      <c r="HD550" s="5"/>
      <c r="HE550" s="5"/>
      <c r="HF550" s="5"/>
      <c r="HG550" s="5"/>
      <c r="HH550" s="5"/>
      <c r="HI550" s="5"/>
      <c r="HJ550" s="5"/>
      <c r="HK550" s="5"/>
      <c r="HL550" s="5"/>
      <c r="HM550" s="5"/>
      <c r="HN550" s="5"/>
      <c r="HO550" s="5"/>
      <c r="HP550" s="5"/>
      <c r="HQ550" s="5"/>
      <c r="HR550" s="5"/>
      <c r="HS550" s="5"/>
      <c r="HT550" s="5"/>
      <c r="HU550" s="5"/>
      <c r="HV550" s="5"/>
    </row>
    <row r="551" spans="21:230" ht="12.75">
      <c r="U551" s="5"/>
      <c r="V551" s="5"/>
      <c r="W551" s="5"/>
      <c r="X551" s="5"/>
      <c r="Y551" s="5"/>
      <c r="AA551" s="5"/>
      <c r="AB551" s="5"/>
      <c r="AC551" s="5"/>
      <c r="AD551" s="5"/>
      <c r="AE551" s="5"/>
      <c r="AY551" s="5"/>
      <c r="AZ551" s="5"/>
      <c r="BA551" s="5"/>
      <c r="BB551" s="5"/>
      <c r="BC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  <c r="GL551" s="5"/>
      <c r="GM551" s="5"/>
      <c r="GN551" s="5"/>
      <c r="GO551" s="5"/>
      <c r="GP551" s="5"/>
      <c r="GQ551" s="5"/>
      <c r="GR551" s="5"/>
      <c r="GS551" s="5"/>
      <c r="GT551" s="5"/>
      <c r="GU551" s="5"/>
      <c r="GV551" s="5"/>
      <c r="GW551" s="5"/>
      <c r="GX551" s="5"/>
      <c r="GY551" s="5"/>
      <c r="GZ551" s="5"/>
      <c r="HA551" s="5"/>
      <c r="HB551" s="5"/>
      <c r="HC551" s="5"/>
      <c r="HD551" s="5"/>
      <c r="HE551" s="5"/>
      <c r="HF551" s="5"/>
      <c r="HG551" s="5"/>
      <c r="HH551" s="5"/>
      <c r="HI551" s="5"/>
      <c r="HJ551" s="5"/>
      <c r="HK551" s="5"/>
      <c r="HL551" s="5"/>
      <c r="HM551" s="5"/>
      <c r="HN551" s="5"/>
      <c r="HO551" s="5"/>
      <c r="HP551" s="5"/>
      <c r="HQ551" s="5"/>
      <c r="HR551" s="5"/>
      <c r="HS551" s="5"/>
      <c r="HT551" s="5"/>
      <c r="HU551" s="5"/>
      <c r="HV551" s="5"/>
    </row>
    <row r="552" spans="21:230" ht="12.75">
      <c r="U552" s="5"/>
      <c r="V552" s="5"/>
      <c r="W552" s="5"/>
      <c r="X552" s="5"/>
      <c r="Y552" s="5"/>
      <c r="AA552" s="5"/>
      <c r="AB552" s="5"/>
      <c r="AC552" s="5"/>
      <c r="AD552" s="5"/>
      <c r="AE552" s="5"/>
      <c r="AY552" s="5"/>
      <c r="AZ552" s="5"/>
      <c r="BA552" s="5"/>
      <c r="BB552" s="5"/>
      <c r="BC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  <c r="GL552" s="5"/>
      <c r="GM552" s="5"/>
      <c r="GN552" s="5"/>
      <c r="GO552" s="5"/>
      <c r="GP552" s="5"/>
      <c r="GQ552" s="5"/>
      <c r="GR552" s="5"/>
      <c r="GS552" s="5"/>
      <c r="GT552" s="5"/>
      <c r="GU552" s="5"/>
      <c r="GV552" s="5"/>
      <c r="GW552" s="5"/>
      <c r="GX552" s="5"/>
      <c r="GY552" s="5"/>
      <c r="GZ552" s="5"/>
      <c r="HA552" s="5"/>
      <c r="HB552" s="5"/>
      <c r="HC552" s="5"/>
      <c r="HD552" s="5"/>
      <c r="HE552" s="5"/>
      <c r="HF552" s="5"/>
      <c r="HG552" s="5"/>
      <c r="HH552" s="5"/>
      <c r="HI552" s="5"/>
      <c r="HJ552" s="5"/>
      <c r="HK552" s="5"/>
      <c r="HL552" s="5"/>
      <c r="HM552" s="5"/>
      <c r="HN552" s="5"/>
      <c r="HO552" s="5"/>
      <c r="HP552" s="5"/>
      <c r="HQ552" s="5"/>
      <c r="HR552" s="5"/>
      <c r="HS552" s="5"/>
      <c r="HT552" s="5"/>
      <c r="HU552" s="5"/>
      <c r="HV552" s="5"/>
    </row>
    <row r="553" spans="21:230" ht="12.75">
      <c r="U553" s="5"/>
      <c r="V553" s="5"/>
      <c r="W553" s="5"/>
      <c r="X553" s="5"/>
      <c r="Y553" s="5"/>
      <c r="AA553" s="5"/>
      <c r="AB553" s="5"/>
      <c r="AC553" s="5"/>
      <c r="AD553" s="5"/>
      <c r="AE553" s="5"/>
      <c r="AY553" s="5"/>
      <c r="AZ553" s="5"/>
      <c r="BA553" s="5"/>
      <c r="BB553" s="5"/>
      <c r="BC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  <c r="GL553" s="5"/>
      <c r="GM553" s="5"/>
      <c r="GN553" s="5"/>
      <c r="GO553" s="5"/>
      <c r="GP553" s="5"/>
      <c r="GQ553" s="5"/>
      <c r="GR553" s="5"/>
      <c r="GS553" s="5"/>
      <c r="GT553" s="5"/>
      <c r="GU553" s="5"/>
      <c r="GV553" s="5"/>
      <c r="GW553" s="5"/>
      <c r="GX553" s="5"/>
      <c r="GY553" s="5"/>
      <c r="GZ553" s="5"/>
      <c r="HA553" s="5"/>
      <c r="HB553" s="5"/>
      <c r="HC553" s="5"/>
      <c r="HD553" s="5"/>
      <c r="HE553" s="5"/>
      <c r="HF553" s="5"/>
      <c r="HG553" s="5"/>
      <c r="HH553" s="5"/>
      <c r="HI553" s="5"/>
      <c r="HJ553" s="5"/>
      <c r="HK553" s="5"/>
      <c r="HL553" s="5"/>
      <c r="HM553" s="5"/>
      <c r="HN553" s="5"/>
      <c r="HO553" s="5"/>
      <c r="HP553" s="5"/>
      <c r="HQ553" s="5"/>
      <c r="HR553" s="5"/>
      <c r="HS553" s="5"/>
      <c r="HT553" s="5"/>
      <c r="HU553" s="5"/>
      <c r="HV553" s="5"/>
    </row>
    <row r="554" spans="21:230" ht="12.75">
      <c r="U554" s="5"/>
      <c r="V554" s="5"/>
      <c r="W554" s="5"/>
      <c r="X554" s="5"/>
      <c r="Y554" s="5"/>
      <c r="AA554" s="5"/>
      <c r="AB554" s="5"/>
      <c r="AC554" s="5"/>
      <c r="AD554" s="5"/>
      <c r="AE554" s="5"/>
      <c r="AY554" s="5"/>
      <c r="AZ554" s="5"/>
      <c r="BA554" s="5"/>
      <c r="BB554" s="5"/>
      <c r="BC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  <c r="GL554" s="5"/>
      <c r="GM554" s="5"/>
      <c r="GN554" s="5"/>
      <c r="GO554" s="5"/>
      <c r="GP554" s="5"/>
      <c r="GQ554" s="5"/>
      <c r="GR554" s="5"/>
      <c r="GS554" s="5"/>
      <c r="GT554" s="5"/>
      <c r="GU554" s="5"/>
      <c r="GV554" s="5"/>
      <c r="GW554" s="5"/>
      <c r="GX554" s="5"/>
      <c r="GY554" s="5"/>
      <c r="GZ554" s="5"/>
      <c r="HA554" s="5"/>
      <c r="HB554" s="5"/>
      <c r="HC554" s="5"/>
      <c r="HD554" s="5"/>
      <c r="HE554" s="5"/>
      <c r="HF554" s="5"/>
      <c r="HG554" s="5"/>
      <c r="HH554" s="5"/>
      <c r="HI554" s="5"/>
      <c r="HJ554" s="5"/>
      <c r="HK554" s="5"/>
      <c r="HL554" s="5"/>
      <c r="HM554" s="5"/>
      <c r="HN554" s="5"/>
      <c r="HO554" s="5"/>
      <c r="HP554" s="5"/>
      <c r="HQ554" s="5"/>
      <c r="HR554" s="5"/>
      <c r="HS554" s="5"/>
      <c r="HT554" s="5"/>
      <c r="HU554" s="5"/>
      <c r="HV554" s="5"/>
    </row>
    <row r="555" spans="21:230" ht="12.75">
      <c r="U555" s="5"/>
      <c r="V555" s="5"/>
      <c r="W555" s="5"/>
      <c r="X555" s="5"/>
      <c r="Y555" s="5"/>
      <c r="AA555" s="5"/>
      <c r="AB555" s="5"/>
      <c r="AC555" s="5"/>
      <c r="AD555" s="5"/>
      <c r="AE555" s="5"/>
      <c r="AY555" s="5"/>
      <c r="AZ555" s="5"/>
      <c r="BA555" s="5"/>
      <c r="BB555" s="5"/>
      <c r="BC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  <c r="GL555" s="5"/>
      <c r="GM555" s="5"/>
      <c r="GN555" s="5"/>
      <c r="GO555" s="5"/>
      <c r="GP555" s="5"/>
      <c r="GQ555" s="5"/>
      <c r="GR555" s="5"/>
      <c r="GS555" s="5"/>
      <c r="GT555" s="5"/>
      <c r="GU555" s="5"/>
      <c r="GV555" s="5"/>
      <c r="GW555" s="5"/>
      <c r="GX555" s="5"/>
      <c r="GY555" s="5"/>
      <c r="GZ555" s="5"/>
      <c r="HA555" s="5"/>
      <c r="HB555" s="5"/>
      <c r="HC555" s="5"/>
      <c r="HD555" s="5"/>
      <c r="HE555" s="5"/>
      <c r="HF555" s="5"/>
      <c r="HG555" s="5"/>
      <c r="HH555" s="5"/>
      <c r="HI555" s="5"/>
      <c r="HJ555" s="5"/>
      <c r="HK555" s="5"/>
      <c r="HL555" s="5"/>
      <c r="HM555" s="5"/>
      <c r="HN555" s="5"/>
      <c r="HO555" s="5"/>
      <c r="HP555" s="5"/>
      <c r="HQ555" s="5"/>
      <c r="HR555" s="5"/>
      <c r="HS555" s="5"/>
      <c r="HT555" s="5"/>
      <c r="HU555" s="5"/>
      <c r="HV555" s="5"/>
    </row>
  </sheetData>
  <sheetProtection/>
  <printOptions/>
  <pageMargins left="0.7" right="0.7" top="0.75" bottom="0.75" header="0.3" footer="0.3"/>
  <pageSetup horizontalDpi="600" verticalDpi="600" orientation="landscape" scale="81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U6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11" sqref="P11"/>
    </sheetView>
  </sheetViews>
  <sheetFormatPr defaultColWidth="8.7109375" defaultRowHeight="12.75"/>
  <cols>
    <col min="1" max="1" width="9.7109375" style="36" customWidth="1"/>
    <col min="2" max="2" width="3.7109375" style="0" hidden="1" customWidth="1"/>
    <col min="3" max="7" width="13.7109375" style="3" hidden="1" customWidth="1"/>
    <col min="8" max="8" width="3.7109375" style="0" hidden="1" customWidth="1"/>
    <col min="9" max="13" width="13.7109375" style="5" hidden="1" customWidth="1"/>
    <col min="14" max="14" width="3.7109375" style="5" customWidth="1"/>
    <col min="15" max="19" width="12.7109375" style="5" customWidth="1"/>
    <col min="20" max="20" width="3.7109375" style="5" customWidth="1"/>
    <col min="21" max="25" width="13.7109375" style="5" customWidth="1"/>
    <col min="26" max="26" width="3.421875" style="5" customWidth="1"/>
    <col min="27" max="31" width="13.7109375" style="5" customWidth="1"/>
    <col min="32" max="32" width="3.7109375" style="5" customWidth="1"/>
    <col min="33" max="37" width="13.7109375" style="5" customWidth="1"/>
    <col min="38" max="38" width="3.7109375" style="5" customWidth="1"/>
    <col min="39" max="43" width="13.7109375" style="5" customWidth="1"/>
    <col min="44" max="44" width="3.7109375" style="5" customWidth="1"/>
    <col min="45" max="46" width="12.7109375" style="5" customWidth="1"/>
    <col min="47" max="49" width="13.7109375" style="5" customWidth="1"/>
    <col min="50" max="50" width="3.7109375" style="5" customWidth="1"/>
    <col min="51" max="55" width="13.7109375" style="5" customWidth="1"/>
    <col min="56" max="56" width="3.7109375" style="5" customWidth="1"/>
    <col min="57" max="61" width="13.7109375" style="5" customWidth="1"/>
    <col min="62" max="62" width="3.7109375" style="5" customWidth="1"/>
    <col min="63" max="67" width="13.7109375" style="5" customWidth="1"/>
    <col min="68" max="68" width="3.7109375" style="5" customWidth="1"/>
    <col min="69" max="73" width="13.7109375" style="5" customWidth="1"/>
    <col min="74" max="74" width="3.7109375" style="5" customWidth="1"/>
    <col min="75" max="79" width="13.7109375" style="5" customWidth="1"/>
    <col min="80" max="80" width="3.7109375" style="5" customWidth="1"/>
    <col min="81" max="85" width="13.7109375" style="5" customWidth="1"/>
    <col min="86" max="86" width="3.7109375" style="5" customWidth="1"/>
    <col min="87" max="91" width="12.7109375" style="5" customWidth="1"/>
    <col min="92" max="92" width="3.7109375" style="5" customWidth="1"/>
    <col min="93" max="97" width="12.7109375" style="5" customWidth="1"/>
    <col min="98" max="98" width="3.7109375" style="5" customWidth="1"/>
    <col min="99" max="103" width="13.7109375" style="5" customWidth="1"/>
    <col min="104" max="104" width="3.7109375" style="5" customWidth="1"/>
    <col min="105" max="109" width="13.7109375" style="5" customWidth="1"/>
    <col min="110" max="110" width="3.7109375" style="5" customWidth="1"/>
    <col min="111" max="115" width="13.7109375" style="5" customWidth="1"/>
    <col min="116" max="116" width="3.7109375" style="5" customWidth="1"/>
    <col min="117" max="121" width="13.7109375" style="5" customWidth="1"/>
    <col min="122" max="122" width="3.7109375" style="5" customWidth="1"/>
    <col min="123" max="127" width="13.7109375" style="5" customWidth="1"/>
    <col min="128" max="128" width="3.7109375" style="5" customWidth="1"/>
    <col min="129" max="133" width="13.7109375" style="5" customWidth="1"/>
    <col min="134" max="134" width="3.7109375" style="5" customWidth="1"/>
    <col min="135" max="139" width="13.7109375" style="5" customWidth="1"/>
    <col min="140" max="140" width="3.7109375" style="5" customWidth="1"/>
    <col min="141" max="145" width="13.7109375" style="5" customWidth="1"/>
    <col min="146" max="146" width="3.7109375" style="5" customWidth="1"/>
    <col min="147" max="151" width="13.7109375" style="5" customWidth="1"/>
    <col min="152" max="152" width="3.7109375" style="5" customWidth="1"/>
    <col min="153" max="157" width="13.7109375" style="5" customWidth="1"/>
    <col min="158" max="158" width="3.7109375" style="5" customWidth="1"/>
    <col min="159" max="163" width="12.7109375" style="5" customWidth="1"/>
    <col min="164" max="164" width="3.7109375" style="5" customWidth="1"/>
    <col min="165" max="169" width="13.7109375" style="5" customWidth="1"/>
    <col min="170" max="170" width="3.7109375" style="5" customWidth="1"/>
    <col min="171" max="175" width="13.7109375" style="5" customWidth="1"/>
    <col min="176" max="176" width="3.7109375" style="0" customWidth="1"/>
  </cols>
  <sheetData>
    <row r="1" spans="1:177" ht="12.75">
      <c r="A1" s="1"/>
      <c r="B1" s="2"/>
      <c r="D1" s="4"/>
      <c r="O1" s="4" t="s">
        <v>92</v>
      </c>
      <c r="U1" s="4"/>
      <c r="AM1" s="4" t="s">
        <v>92</v>
      </c>
      <c r="AY1" s="4" t="s">
        <v>92</v>
      </c>
      <c r="BQ1" s="4" t="s">
        <v>92</v>
      </c>
      <c r="CI1" s="4" t="s">
        <v>92</v>
      </c>
      <c r="DA1" s="4" t="s">
        <v>92</v>
      </c>
      <c r="DS1" s="4" t="s">
        <v>92</v>
      </c>
      <c r="EK1" s="4" t="s">
        <v>92</v>
      </c>
      <c r="FC1" s="4" t="s">
        <v>92</v>
      </c>
      <c r="FU1" s="4" t="s">
        <v>92</v>
      </c>
    </row>
    <row r="2" spans="1:177" ht="12.75">
      <c r="A2" s="1"/>
      <c r="B2" s="2"/>
      <c r="D2" s="4"/>
      <c r="O2" s="4" t="s">
        <v>91</v>
      </c>
      <c r="U2" s="4"/>
      <c r="AM2" s="4" t="s">
        <v>91</v>
      </c>
      <c r="AY2" s="4" t="s">
        <v>91</v>
      </c>
      <c r="BQ2" s="4" t="s">
        <v>91</v>
      </c>
      <c r="CI2" s="4" t="s">
        <v>91</v>
      </c>
      <c r="DA2" s="4" t="s">
        <v>91</v>
      </c>
      <c r="DS2" s="4" t="s">
        <v>91</v>
      </c>
      <c r="EK2" s="4" t="s">
        <v>91</v>
      </c>
      <c r="FC2" s="4" t="s">
        <v>91</v>
      </c>
      <c r="FU2" s="4" t="s">
        <v>91</v>
      </c>
    </row>
    <row r="3" spans="1:177" ht="12.75">
      <c r="A3" s="1"/>
      <c r="B3" s="2"/>
      <c r="D3" s="7"/>
      <c r="O3" s="4" t="str">
        <f>'2019C'!C3</f>
        <v>2010 Series D &amp; 2010 Series E Bond Funded Projects Refinanced on  2019C</v>
      </c>
      <c r="U3" s="4"/>
      <c r="AM3" s="4" t="s">
        <v>115</v>
      </c>
      <c r="AY3" s="4" t="s">
        <v>115</v>
      </c>
      <c r="BQ3" s="4" t="s">
        <v>115</v>
      </c>
      <c r="CI3" s="4" t="s">
        <v>115</v>
      </c>
      <c r="DA3" s="4" t="s">
        <v>115</v>
      </c>
      <c r="DS3" s="4" t="s">
        <v>115</v>
      </c>
      <c r="EK3" s="4" t="s">
        <v>115</v>
      </c>
      <c r="FC3" s="4" t="s">
        <v>115</v>
      </c>
      <c r="FU3" s="4" t="s">
        <v>115</v>
      </c>
    </row>
    <row r="4" spans="1:4" ht="12.75">
      <c r="A4" s="1"/>
      <c r="B4" s="2"/>
      <c r="C4" s="4"/>
      <c r="D4" s="4"/>
    </row>
    <row r="5" spans="1:175" ht="12.75">
      <c r="A5" s="9" t="s">
        <v>0</v>
      </c>
      <c r="C5" s="78" t="s">
        <v>173</v>
      </c>
      <c r="D5" s="78"/>
      <c r="E5" s="79"/>
      <c r="F5" s="10"/>
      <c r="G5" s="30"/>
      <c r="I5" s="11" t="s">
        <v>171</v>
      </c>
      <c r="J5" s="14"/>
      <c r="K5" s="13"/>
      <c r="L5" s="81"/>
      <c r="M5" s="30"/>
      <c r="O5" s="39" t="s">
        <v>19</v>
      </c>
      <c r="P5" s="12"/>
      <c r="Q5" s="13"/>
      <c r="R5" s="81"/>
      <c r="S5" s="30"/>
      <c r="U5" s="39" t="s">
        <v>131</v>
      </c>
      <c r="V5" s="12"/>
      <c r="W5" s="13"/>
      <c r="X5" s="81"/>
      <c r="Y5" s="30"/>
      <c r="Z5" s="82"/>
      <c r="AA5" s="39" t="s">
        <v>176</v>
      </c>
      <c r="AB5" s="12"/>
      <c r="AC5" s="13"/>
      <c r="AD5" s="81"/>
      <c r="AE5" s="30"/>
      <c r="AG5" s="39" t="s">
        <v>132</v>
      </c>
      <c r="AH5" s="12"/>
      <c r="AI5" s="13"/>
      <c r="AJ5" s="81"/>
      <c r="AK5" s="30"/>
      <c r="AM5" s="39" t="s">
        <v>133</v>
      </c>
      <c r="AN5" s="12"/>
      <c r="AO5" s="13"/>
      <c r="AP5" s="81"/>
      <c r="AQ5" s="30"/>
      <c r="AS5" s="39" t="s">
        <v>20</v>
      </c>
      <c r="AT5" s="12"/>
      <c r="AU5" s="13"/>
      <c r="AV5" s="81"/>
      <c r="AW5" s="30"/>
      <c r="AY5" s="39" t="s">
        <v>21</v>
      </c>
      <c r="AZ5" s="12"/>
      <c r="BA5" s="13"/>
      <c r="BB5" s="81"/>
      <c r="BC5" s="30"/>
      <c r="BE5" s="39" t="s">
        <v>93</v>
      </c>
      <c r="BF5" s="12"/>
      <c r="BG5" s="13"/>
      <c r="BH5" s="81"/>
      <c r="BI5" s="30"/>
      <c r="BK5" s="39" t="s">
        <v>134</v>
      </c>
      <c r="BL5" s="12"/>
      <c r="BM5" s="13"/>
      <c r="BN5" s="81"/>
      <c r="BO5" s="30"/>
      <c r="BQ5" s="39" t="s">
        <v>167</v>
      </c>
      <c r="BR5" s="12"/>
      <c r="BS5" s="13"/>
      <c r="BT5" s="81"/>
      <c r="BU5" s="30"/>
      <c r="BW5" s="11" t="s">
        <v>22</v>
      </c>
      <c r="BX5" s="12"/>
      <c r="BY5" s="13"/>
      <c r="BZ5" s="81"/>
      <c r="CA5" s="30"/>
      <c r="CC5" s="11" t="s">
        <v>168</v>
      </c>
      <c r="CD5" s="12"/>
      <c r="CE5" s="13"/>
      <c r="CF5" s="81"/>
      <c r="CG5" s="30"/>
      <c r="CI5" s="11" t="s">
        <v>135</v>
      </c>
      <c r="CJ5" s="12"/>
      <c r="CK5" s="13"/>
      <c r="CL5" s="81"/>
      <c r="CM5" s="30"/>
      <c r="CO5" s="39" t="s">
        <v>23</v>
      </c>
      <c r="CP5" s="12"/>
      <c r="CQ5" s="13"/>
      <c r="CR5" s="81"/>
      <c r="CS5" s="30"/>
      <c r="CU5" s="11" t="s">
        <v>24</v>
      </c>
      <c r="CV5" s="12"/>
      <c r="CW5" s="13"/>
      <c r="CX5" s="81"/>
      <c r="CY5" s="30"/>
      <c r="DA5" s="39" t="s">
        <v>25</v>
      </c>
      <c r="DB5" s="12"/>
      <c r="DC5" s="13"/>
      <c r="DD5" s="81"/>
      <c r="DE5" s="30"/>
      <c r="DG5" s="39" t="s">
        <v>26</v>
      </c>
      <c r="DH5" s="14"/>
      <c r="DI5" s="13"/>
      <c r="DJ5" s="81"/>
      <c r="DK5" s="30"/>
      <c r="DM5" s="39" t="s">
        <v>27</v>
      </c>
      <c r="DN5" s="14"/>
      <c r="DO5" s="13"/>
      <c r="DP5" s="81"/>
      <c r="DQ5" s="30"/>
      <c r="DS5" s="39" t="s">
        <v>28</v>
      </c>
      <c r="DT5" s="14"/>
      <c r="DU5" s="13"/>
      <c r="DV5" s="81"/>
      <c r="DW5" s="30"/>
      <c r="DY5" s="39" t="s">
        <v>94</v>
      </c>
      <c r="DZ5" s="14"/>
      <c r="EA5" s="13"/>
      <c r="EB5" s="81"/>
      <c r="EC5" s="30"/>
      <c r="EE5" s="39" t="s">
        <v>29</v>
      </c>
      <c r="EF5" s="14"/>
      <c r="EG5" s="13"/>
      <c r="EH5" s="81"/>
      <c r="EI5" s="30"/>
      <c r="EJ5" s="42"/>
      <c r="EK5" s="11" t="s">
        <v>30</v>
      </c>
      <c r="EL5" s="14"/>
      <c r="EM5" s="13"/>
      <c r="EN5" s="81"/>
      <c r="EO5" s="30"/>
      <c r="EP5" s="43"/>
      <c r="EQ5" s="11" t="s">
        <v>31</v>
      </c>
      <c r="ER5" s="14"/>
      <c r="ES5" s="13"/>
      <c r="ET5" s="81"/>
      <c r="EU5" s="30"/>
      <c r="EV5" s="43"/>
      <c r="EW5" s="11" t="s">
        <v>95</v>
      </c>
      <c r="EX5" s="14"/>
      <c r="EY5" s="13"/>
      <c r="EZ5" s="81"/>
      <c r="FA5" s="30"/>
      <c r="FB5" s="43"/>
      <c r="FC5" s="39" t="s">
        <v>136</v>
      </c>
      <c r="FD5" s="14"/>
      <c r="FE5" s="13"/>
      <c r="FF5" s="81"/>
      <c r="FG5" s="30"/>
      <c r="FH5" s="43"/>
      <c r="FI5" s="11" t="s">
        <v>96</v>
      </c>
      <c r="FJ5" s="14"/>
      <c r="FK5" s="13"/>
      <c r="FL5" s="81"/>
      <c r="FM5" s="30"/>
      <c r="FN5" s="43"/>
      <c r="FO5" s="11" t="s">
        <v>169</v>
      </c>
      <c r="FP5" s="14"/>
      <c r="FQ5" s="13"/>
      <c r="FR5" s="81"/>
      <c r="FS5" s="30"/>
    </row>
    <row r="6" spans="1:175" ht="12.75">
      <c r="A6" s="20" t="s">
        <v>15</v>
      </c>
      <c r="B6" s="8"/>
      <c r="C6" s="40"/>
      <c r="D6" s="41" t="str">
        <f>'2019C'!D6</f>
        <v>Refinanced on 2019C</v>
      </c>
      <c r="E6" s="13"/>
      <c r="F6" s="80" t="s">
        <v>174</v>
      </c>
      <c r="G6" s="30" t="s">
        <v>174</v>
      </c>
      <c r="I6" s="21">
        <f>O6+U6+AG6+AM6+AS6+AA6+AY6+BE6+BK6+BW6+CI6+CO6+CU6+DA6+DG6+DM6+DS6+DY6+EE6+EK6+EQ6+EW6+FC6+FI6</f>
        <v>0.14227249999999997</v>
      </c>
      <c r="J6" s="22">
        <v>0.223231</v>
      </c>
      <c r="K6" s="23"/>
      <c r="L6" s="80" t="s">
        <v>174</v>
      </c>
      <c r="M6" s="30" t="s">
        <v>174</v>
      </c>
      <c r="O6" s="44">
        <v>0.0232253</v>
      </c>
      <c r="P6" s="8">
        <v>0.0468017</v>
      </c>
      <c r="Q6" s="23"/>
      <c r="R6" s="80" t="s">
        <v>174</v>
      </c>
      <c r="S6" s="30" t="s">
        <v>174</v>
      </c>
      <c r="U6" s="44">
        <v>0.0062124</v>
      </c>
      <c r="V6" s="8">
        <v>0.0065137</v>
      </c>
      <c r="W6" s="23"/>
      <c r="X6" s="80" t="s">
        <v>174</v>
      </c>
      <c r="Y6" s="30" t="s">
        <v>174</v>
      </c>
      <c r="Z6" s="83"/>
      <c r="AA6" s="44">
        <v>0.0009275</v>
      </c>
      <c r="AB6" s="8">
        <v>0.000936</v>
      </c>
      <c r="AC6" s="23"/>
      <c r="AD6" s="80" t="s">
        <v>174</v>
      </c>
      <c r="AE6" s="30" t="s">
        <v>174</v>
      </c>
      <c r="AG6" s="44">
        <v>0.0028654</v>
      </c>
      <c r="AH6" s="8">
        <v>0.0055081</v>
      </c>
      <c r="AI6" s="23"/>
      <c r="AJ6" s="80" t="s">
        <v>174</v>
      </c>
      <c r="AK6" s="30" t="s">
        <v>174</v>
      </c>
      <c r="AM6" s="44">
        <v>0.0024251</v>
      </c>
      <c r="AN6" s="8">
        <v>0.0024473</v>
      </c>
      <c r="AO6" s="23"/>
      <c r="AP6" s="80" t="s">
        <v>174</v>
      </c>
      <c r="AQ6" s="30" t="s">
        <v>174</v>
      </c>
      <c r="AS6" s="44">
        <v>0.0007691</v>
      </c>
      <c r="AT6" s="8">
        <v>0.0015559</v>
      </c>
      <c r="AU6" s="23"/>
      <c r="AV6" s="80" t="s">
        <v>174</v>
      </c>
      <c r="AW6" s="30" t="s">
        <v>174</v>
      </c>
      <c r="AY6" s="44">
        <v>0.0037867</v>
      </c>
      <c r="AZ6" s="8">
        <v>0.0041985</v>
      </c>
      <c r="BA6" s="23"/>
      <c r="BB6" s="80" t="s">
        <v>174</v>
      </c>
      <c r="BC6" s="30" t="s">
        <v>174</v>
      </c>
      <c r="BE6" s="44">
        <v>8E-07</v>
      </c>
      <c r="BF6" s="8">
        <v>8E-07</v>
      </c>
      <c r="BG6" s="23"/>
      <c r="BH6" s="80" t="s">
        <v>174</v>
      </c>
      <c r="BI6" s="30" t="s">
        <v>174</v>
      </c>
      <c r="BK6" s="44">
        <v>0.0025737</v>
      </c>
      <c r="BL6" s="8">
        <v>0.0025973</v>
      </c>
      <c r="BM6" s="23"/>
      <c r="BN6" s="80" t="s">
        <v>174</v>
      </c>
      <c r="BO6" s="30" t="s">
        <v>174</v>
      </c>
      <c r="BQ6" s="44">
        <v>0</v>
      </c>
      <c r="BR6" s="8">
        <v>0.0047809</v>
      </c>
      <c r="BS6" s="23"/>
      <c r="BT6" s="80" t="s">
        <v>174</v>
      </c>
      <c r="BU6" s="30" t="s">
        <v>174</v>
      </c>
      <c r="BW6" s="44">
        <v>0.0078164</v>
      </c>
      <c r="BX6" s="8">
        <v>0.0124444</v>
      </c>
      <c r="BY6" s="23"/>
      <c r="BZ6" s="80" t="s">
        <v>174</v>
      </c>
      <c r="CA6" s="30" t="s">
        <v>174</v>
      </c>
      <c r="CC6" s="44">
        <v>0</v>
      </c>
      <c r="CD6" s="8">
        <v>0.0012659</v>
      </c>
      <c r="CE6" s="23"/>
      <c r="CF6" s="80" t="s">
        <v>174</v>
      </c>
      <c r="CG6" s="30" t="s">
        <v>174</v>
      </c>
      <c r="CI6" s="44">
        <v>0.0001568</v>
      </c>
      <c r="CJ6" s="8">
        <v>0.0001582</v>
      </c>
      <c r="CK6" s="23"/>
      <c r="CL6" s="80" t="s">
        <v>174</v>
      </c>
      <c r="CM6" s="30" t="s">
        <v>174</v>
      </c>
      <c r="CO6" s="44">
        <v>0.0001416</v>
      </c>
      <c r="CP6" s="8">
        <v>0.0001429</v>
      </c>
      <c r="CQ6" s="23"/>
      <c r="CR6" s="80" t="s">
        <v>174</v>
      </c>
      <c r="CS6" s="30" t="s">
        <v>174</v>
      </c>
      <c r="CU6" s="44">
        <v>0.0021433</v>
      </c>
      <c r="CV6" s="8">
        <v>0.0035531</v>
      </c>
      <c r="CW6" s="23"/>
      <c r="CX6" s="80" t="s">
        <v>174</v>
      </c>
      <c r="CY6" s="30" t="s">
        <v>174</v>
      </c>
      <c r="DA6" s="44">
        <v>0.0001105</v>
      </c>
      <c r="DB6" s="8">
        <v>0.0002758</v>
      </c>
      <c r="DC6" s="23"/>
      <c r="DD6" s="80" t="s">
        <v>174</v>
      </c>
      <c r="DE6" s="30" t="s">
        <v>174</v>
      </c>
      <c r="DG6" s="44">
        <v>0.0019505</v>
      </c>
      <c r="DH6" s="22">
        <v>0.0021815</v>
      </c>
      <c r="DI6" s="23"/>
      <c r="DJ6" s="80" t="s">
        <v>174</v>
      </c>
      <c r="DK6" s="30" t="s">
        <v>174</v>
      </c>
      <c r="DM6" s="44">
        <v>0.0110992</v>
      </c>
      <c r="DN6" s="22">
        <v>0.0112641</v>
      </c>
      <c r="DO6" s="23"/>
      <c r="DP6" s="80" t="s">
        <v>174</v>
      </c>
      <c r="DQ6" s="30" t="s">
        <v>174</v>
      </c>
      <c r="DS6" s="44">
        <v>0.0008856</v>
      </c>
      <c r="DT6" s="22">
        <v>0.0008937</v>
      </c>
      <c r="DU6" s="23"/>
      <c r="DV6" s="80" t="s">
        <v>174</v>
      </c>
      <c r="DW6" s="30" t="s">
        <v>174</v>
      </c>
      <c r="DY6" s="44">
        <v>0.0003003</v>
      </c>
      <c r="DZ6" s="22">
        <v>0.0024264</v>
      </c>
      <c r="EA6" s="23"/>
      <c r="EB6" s="80" t="s">
        <v>174</v>
      </c>
      <c r="EC6" s="30" t="s">
        <v>174</v>
      </c>
      <c r="EE6" s="44">
        <v>0.0022678</v>
      </c>
      <c r="EF6" s="22">
        <v>0.0027208</v>
      </c>
      <c r="EG6" s="23"/>
      <c r="EH6" s="80" t="s">
        <v>174</v>
      </c>
      <c r="EI6" s="30" t="s">
        <v>174</v>
      </c>
      <c r="EJ6" s="42"/>
      <c r="EK6" s="44">
        <v>0.0063511</v>
      </c>
      <c r="EL6" s="22">
        <v>0.0068555</v>
      </c>
      <c r="EM6" s="23"/>
      <c r="EN6" s="80" t="s">
        <v>174</v>
      </c>
      <c r="EO6" s="30" t="s">
        <v>174</v>
      </c>
      <c r="EP6" s="43"/>
      <c r="EQ6" s="44">
        <v>0.0079036</v>
      </c>
      <c r="ER6" s="22">
        <v>0.0105327</v>
      </c>
      <c r="ES6" s="23"/>
      <c r="ET6" s="80" t="s">
        <v>174</v>
      </c>
      <c r="EU6" s="30" t="s">
        <v>174</v>
      </c>
      <c r="EV6" s="43"/>
      <c r="EW6" s="44">
        <v>0.0432289</v>
      </c>
      <c r="EX6" s="22">
        <v>0.0499299</v>
      </c>
      <c r="EY6" s="23"/>
      <c r="EZ6" s="80" t="s">
        <v>174</v>
      </c>
      <c r="FA6" s="30" t="s">
        <v>174</v>
      </c>
      <c r="FB6" s="43"/>
      <c r="FC6" s="44">
        <v>0.0150947</v>
      </c>
      <c r="FD6" s="22">
        <v>0.0422346</v>
      </c>
      <c r="FE6" s="23"/>
      <c r="FF6" s="80" t="s">
        <v>174</v>
      </c>
      <c r="FG6" s="30" t="s">
        <v>174</v>
      </c>
      <c r="FH6" s="43"/>
      <c r="FI6" s="44">
        <v>3.62E-05</v>
      </c>
      <c r="FJ6" s="22">
        <v>0.000265</v>
      </c>
      <c r="FK6" s="23"/>
      <c r="FL6" s="80" t="s">
        <v>174</v>
      </c>
      <c r="FM6" s="30" t="s">
        <v>174</v>
      </c>
      <c r="FN6" s="34"/>
      <c r="FO6" s="44">
        <v>0</v>
      </c>
      <c r="FP6" s="22">
        <v>0.0007463</v>
      </c>
      <c r="FQ6" s="23"/>
      <c r="FR6" s="80" t="s">
        <v>174</v>
      </c>
      <c r="FS6" s="30" t="s">
        <v>174</v>
      </c>
    </row>
    <row r="7" spans="1:175" ht="12.75">
      <c r="A7" s="29"/>
      <c r="C7" s="30" t="s">
        <v>16</v>
      </c>
      <c r="D7" s="30" t="s">
        <v>17</v>
      </c>
      <c r="E7" s="30" t="s">
        <v>18</v>
      </c>
      <c r="F7" s="30" t="s">
        <v>175</v>
      </c>
      <c r="G7" s="30" t="s">
        <v>180</v>
      </c>
      <c r="I7" s="30" t="s">
        <v>16</v>
      </c>
      <c r="J7" s="30" t="s">
        <v>17</v>
      </c>
      <c r="K7" s="30" t="s">
        <v>18</v>
      </c>
      <c r="L7" s="30" t="s">
        <v>175</v>
      </c>
      <c r="M7" s="30" t="s">
        <v>180</v>
      </c>
      <c r="O7" s="30" t="s">
        <v>16</v>
      </c>
      <c r="P7" s="30" t="s">
        <v>17</v>
      </c>
      <c r="Q7" s="30" t="s">
        <v>18</v>
      </c>
      <c r="R7" s="30" t="s">
        <v>175</v>
      </c>
      <c r="S7" s="30" t="s">
        <v>180</v>
      </c>
      <c r="U7" s="30" t="s">
        <v>16</v>
      </c>
      <c r="V7" s="30" t="s">
        <v>17</v>
      </c>
      <c r="W7" s="30" t="s">
        <v>18</v>
      </c>
      <c r="X7" s="30" t="s">
        <v>175</v>
      </c>
      <c r="Y7" s="30" t="s">
        <v>180</v>
      </c>
      <c r="Z7" s="83"/>
      <c r="AA7" s="30" t="s">
        <v>16</v>
      </c>
      <c r="AB7" s="30" t="s">
        <v>17</v>
      </c>
      <c r="AC7" s="30" t="s">
        <v>18</v>
      </c>
      <c r="AD7" s="30" t="s">
        <v>175</v>
      </c>
      <c r="AE7" s="30" t="s">
        <v>180</v>
      </c>
      <c r="AG7" s="30" t="s">
        <v>16</v>
      </c>
      <c r="AH7" s="30" t="s">
        <v>17</v>
      </c>
      <c r="AI7" s="30" t="s">
        <v>18</v>
      </c>
      <c r="AJ7" s="30" t="s">
        <v>175</v>
      </c>
      <c r="AK7" s="30" t="s">
        <v>180</v>
      </c>
      <c r="AM7" s="30" t="s">
        <v>16</v>
      </c>
      <c r="AN7" s="30" t="s">
        <v>17</v>
      </c>
      <c r="AO7" s="30" t="s">
        <v>18</v>
      </c>
      <c r="AP7" s="30" t="s">
        <v>175</v>
      </c>
      <c r="AQ7" s="30" t="s">
        <v>180</v>
      </c>
      <c r="AS7" s="30" t="s">
        <v>16</v>
      </c>
      <c r="AT7" s="30" t="s">
        <v>17</v>
      </c>
      <c r="AU7" s="30" t="s">
        <v>18</v>
      </c>
      <c r="AV7" s="30" t="s">
        <v>175</v>
      </c>
      <c r="AW7" s="30" t="s">
        <v>180</v>
      </c>
      <c r="AY7" s="30" t="s">
        <v>16</v>
      </c>
      <c r="AZ7" s="30" t="s">
        <v>17</v>
      </c>
      <c r="BA7" s="30" t="s">
        <v>18</v>
      </c>
      <c r="BB7" s="30" t="s">
        <v>175</v>
      </c>
      <c r="BC7" s="30" t="s">
        <v>180</v>
      </c>
      <c r="BE7" s="30" t="s">
        <v>16</v>
      </c>
      <c r="BF7" s="30" t="s">
        <v>17</v>
      </c>
      <c r="BG7" s="30" t="s">
        <v>18</v>
      </c>
      <c r="BH7" s="30" t="s">
        <v>175</v>
      </c>
      <c r="BI7" s="30" t="s">
        <v>180</v>
      </c>
      <c r="BK7" s="30" t="s">
        <v>16</v>
      </c>
      <c r="BL7" s="30" t="s">
        <v>17</v>
      </c>
      <c r="BM7" s="30" t="s">
        <v>18</v>
      </c>
      <c r="BN7" s="30" t="s">
        <v>175</v>
      </c>
      <c r="BO7" s="30" t="s">
        <v>180</v>
      </c>
      <c r="BQ7" s="30" t="s">
        <v>16</v>
      </c>
      <c r="BR7" s="30" t="s">
        <v>17</v>
      </c>
      <c r="BS7" s="30" t="s">
        <v>18</v>
      </c>
      <c r="BT7" s="30" t="s">
        <v>175</v>
      </c>
      <c r="BU7" s="30" t="s">
        <v>180</v>
      </c>
      <c r="BW7" s="30" t="s">
        <v>16</v>
      </c>
      <c r="BX7" s="30" t="s">
        <v>17</v>
      </c>
      <c r="BY7" s="30" t="s">
        <v>18</v>
      </c>
      <c r="BZ7" s="30" t="s">
        <v>175</v>
      </c>
      <c r="CA7" s="30" t="s">
        <v>180</v>
      </c>
      <c r="CC7" s="30" t="s">
        <v>16</v>
      </c>
      <c r="CD7" s="30" t="s">
        <v>17</v>
      </c>
      <c r="CE7" s="30" t="s">
        <v>18</v>
      </c>
      <c r="CF7" s="30" t="s">
        <v>175</v>
      </c>
      <c r="CG7" s="30" t="s">
        <v>180</v>
      </c>
      <c r="CI7" s="30" t="s">
        <v>16</v>
      </c>
      <c r="CJ7" s="30" t="s">
        <v>17</v>
      </c>
      <c r="CK7" s="30" t="s">
        <v>18</v>
      </c>
      <c r="CL7" s="30" t="s">
        <v>175</v>
      </c>
      <c r="CM7" s="30" t="s">
        <v>180</v>
      </c>
      <c r="CO7" s="30" t="s">
        <v>16</v>
      </c>
      <c r="CP7" s="30" t="s">
        <v>17</v>
      </c>
      <c r="CQ7" s="30" t="s">
        <v>18</v>
      </c>
      <c r="CR7" s="30" t="s">
        <v>175</v>
      </c>
      <c r="CS7" s="30" t="s">
        <v>180</v>
      </c>
      <c r="CU7" s="30" t="s">
        <v>16</v>
      </c>
      <c r="CV7" s="30" t="s">
        <v>17</v>
      </c>
      <c r="CW7" s="30" t="s">
        <v>18</v>
      </c>
      <c r="CX7" s="30" t="s">
        <v>175</v>
      </c>
      <c r="CY7" s="30" t="s">
        <v>180</v>
      </c>
      <c r="DA7" s="30" t="s">
        <v>16</v>
      </c>
      <c r="DB7" s="30" t="s">
        <v>17</v>
      </c>
      <c r="DC7" s="30" t="s">
        <v>18</v>
      </c>
      <c r="DD7" s="30" t="s">
        <v>175</v>
      </c>
      <c r="DE7" s="30" t="s">
        <v>180</v>
      </c>
      <c r="DG7" s="30" t="s">
        <v>16</v>
      </c>
      <c r="DH7" s="30" t="s">
        <v>17</v>
      </c>
      <c r="DI7" s="30" t="s">
        <v>18</v>
      </c>
      <c r="DJ7" s="30" t="s">
        <v>175</v>
      </c>
      <c r="DK7" s="30" t="s">
        <v>180</v>
      </c>
      <c r="DM7" s="30" t="s">
        <v>16</v>
      </c>
      <c r="DN7" s="30" t="s">
        <v>17</v>
      </c>
      <c r="DO7" s="30" t="s">
        <v>18</v>
      </c>
      <c r="DP7" s="30" t="s">
        <v>175</v>
      </c>
      <c r="DQ7" s="30" t="s">
        <v>180</v>
      </c>
      <c r="DS7" s="30" t="s">
        <v>16</v>
      </c>
      <c r="DT7" s="30" t="s">
        <v>17</v>
      </c>
      <c r="DU7" s="30" t="s">
        <v>18</v>
      </c>
      <c r="DV7" s="30" t="s">
        <v>175</v>
      </c>
      <c r="DW7" s="30" t="s">
        <v>180</v>
      </c>
      <c r="DY7" s="30" t="s">
        <v>16</v>
      </c>
      <c r="DZ7" s="30" t="s">
        <v>17</v>
      </c>
      <c r="EA7" s="30" t="s">
        <v>18</v>
      </c>
      <c r="EB7" s="30" t="s">
        <v>175</v>
      </c>
      <c r="EC7" s="30" t="s">
        <v>180</v>
      </c>
      <c r="EE7" s="30" t="s">
        <v>16</v>
      </c>
      <c r="EF7" s="30" t="s">
        <v>17</v>
      </c>
      <c r="EG7" s="30" t="s">
        <v>18</v>
      </c>
      <c r="EH7" s="30" t="s">
        <v>175</v>
      </c>
      <c r="EI7" s="30" t="s">
        <v>180</v>
      </c>
      <c r="EJ7" s="45"/>
      <c r="EK7" s="30" t="s">
        <v>16</v>
      </c>
      <c r="EL7" s="30" t="s">
        <v>17</v>
      </c>
      <c r="EM7" s="30" t="s">
        <v>18</v>
      </c>
      <c r="EN7" s="30" t="s">
        <v>175</v>
      </c>
      <c r="EO7" s="30" t="s">
        <v>180</v>
      </c>
      <c r="EP7" s="45"/>
      <c r="EQ7" s="30" t="s">
        <v>16</v>
      </c>
      <c r="ER7" s="30" t="s">
        <v>17</v>
      </c>
      <c r="ES7" s="30" t="s">
        <v>18</v>
      </c>
      <c r="ET7" s="30" t="s">
        <v>175</v>
      </c>
      <c r="EU7" s="30" t="s">
        <v>180</v>
      </c>
      <c r="EV7" s="45"/>
      <c r="EW7" s="30" t="s">
        <v>16</v>
      </c>
      <c r="EX7" s="30" t="s">
        <v>17</v>
      </c>
      <c r="EY7" s="30" t="s">
        <v>18</v>
      </c>
      <c r="EZ7" s="30" t="s">
        <v>175</v>
      </c>
      <c r="FA7" s="30" t="s">
        <v>180</v>
      </c>
      <c r="FB7" s="45"/>
      <c r="FC7" s="30" t="s">
        <v>16</v>
      </c>
      <c r="FD7" s="30" t="s">
        <v>17</v>
      </c>
      <c r="FE7" s="30" t="s">
        <v>18</v>
      </c>
      <c r="FF7" s="30" t="s">
        <v>175</v>
      </c>
      <c r="FG7" s="30" t="s">
        <v>180</v>
      </c>
      <c r="FH7" s="45"/>
      <c r="FI7" s="30" t="s">
        <v>16</v>
      </c>
      <c r="FJ7" s="30" t="s">
        <v>17</v>
      </c>
      <c r="FK7" s="30" t="s">
        <v>18</v>
      </c>
      <c r="FL7" s="30" t="s">
        <v>175</v>
      </c>
      <c r="FM7" s="30" t="s">
        <v>180</v>
      </c>
      <c r="FN7" s="73"/>
      <c r="FO7" s="30" t="s">
        <v>16</v>
      </c>
      <c r="FP7" s="30" t="s">
        <v>17</v>
      </c>
      <c r="FQ7" s="30" t="s">
        <v>18</v>
      </c>
      <c r="FR7" s="30" t="s">
        <v>175</v>
      </c>
      <c r="FS7" s="30" t="s">
        <v>180</v>
      </c>
    </row>
    <row r="8" spans="1:175" ht="12.75">
      <c r="A8" s="36">
        <v>44835</v>
      </c>
      <c r="C8" s="77">
        <f>'2019C'!C8</f>
        <v>0</v>
      </c>
      <c r="D8" s="77">
        <f>'2019C'!D8</f>
        <v>1136250</v>
      </c>
      <c r="E8" s="34">
        <f aca="true" t="shared" si="0" ref="E8:E23">C8+D8</f>
        <v>1136250</v>
      </c>
      <c r="F8" s="77">
        <f>'2019C'!F8</f>
        <v>522689</v>
      </c>
      <c r="G8" s="77">
        <f>'2019C'!G8</f>
        <v>5431</v>
      </c>
      <c r="I8" s="46"/>
      <c r="J8" s="35">
        <f aca="true" t="shared" si="1" ref="J8:J23">P8+V8+AH8+AN8+AT8+AB8+AZ8+BF8+BL8+BR8+BX8+CD8+CJ8+CP8+CV8+DB8+DH8+DN8+DT8+DZ8+EF8+EL8+ER8+EX8+FD8+FJ8+FP8</f>
        <v>253646.22375000003</v>
      </c>
      <c r="K8" s="35">
        <f aca="true" t="shared" si="2" ref="K8:K23">I8+J8</f>
        <v>253646.22375000003</v>
      </c>
      <c r="L8" s="35">
        <f aca="true" t="shared" si="3" ref="L8:M23">R8+X8+AJ8+AP8+AV8+AD8+BB8+BH8+BN8+BZ8+CL8+CR8+CX8+DD8+DJ8+DP8+DV8+EB8+EH8+EN8+ET8+EZ8+FF8+FL8+BT8+CF8+FR8</f>
        <v>116680.38815900001</v>
      </c>
      <c r="M8" s="35">
        <f t="shared" si="3"/>
        <v>1212.3675610000003</v>
      </c>
      <c r="P8" s="5">
        <f aca="true" t="shared" si="4" ref="P8:P23">$D8*P$6</f>
        <v>53178.431625000005</v>
      </c>
      <c r="Q8" s="5">
        <f aca="true" t="shared" si="5" ref="Q8:Q23">O8+P8</f>
        <v>53178.431625000005</v>
      </c>
      <c r="R8" s="35">
        <f aca="true" t="shared" si="6" ref="R8:R23">$F8*P$6</f>
        <v>24462.7337713</v>
      </c>
      <c r="S8" s="35">
        <f aca="true" t="shared" si="7" ref="S8:S23">$G8*P$6</f>
        <v>254.1800327</v>
      </c>
      <c r="V8" s="5">
        <f aca="true" t="shared" si="8" ref="V8:V23">$D8*V$6</f>
        <v>7401.1916249999995</v>
      </c>
      <c r="W8" s="35">
        <f aca="true" t="shared" si="9" ref="W8:W23">U8+V8</f>
        <v>7401.1916249999995</v>
      </c>
      <c r="X8" s="35">
        <f aca="true" t="shared" si="10" ref="X8:X23">$F8*V$6</f>
        <v>3404.6393393</v>
      </c>
      <c r="Y8" s="35">
        <f aca="true" t="shared" si="11" ref="Y8:Y23">$G8*V$6</f>
        <v>35.3759047</v>
      </c>
      <c r="Z8" s="35"/>
      <c r="AB8" s="5">
        <f aca="true" t="shared" si="12" ref="AB8:AB23">$D8*AB$6</f>
        <v>1063.53</v>
      </c>
      <c r="AC8" s="5">
        <f aca="true" t="shared" si="13" ref="AC8:AC23">AA8+AB8</f>
        <v>1063.53</v>
      </c>
      <c r="AD8" s="35">
        <f aca="true" t="shared" si="14" ref="AD8:AD23">$F8*AB$6</f>
        <v>489.236904</v>
      </c>
      <c r="AE8" s="35">
        <f aca="true" t="shared" si="15" ref="AE8:AE23">$G8*AB$6</f>
        <v>5.083416</v>
      </c>
      <c r="AH8" s="5">
        <f aca="true" t="shared" si="16" ref="AH8:AH23">$D8*AH$6</f>
        <v>6258.578625</v>
      </c>
      <c r="AI8" s="5">
        <f aca="true" t="shared" si="17" ref="AI8:AI23">AG8+AH8</f>
        <v>6258.578625</v>
      </c>
      <c r="AJ8" s="35">
        <f aca="true" t="shared" si="18" ref="AJ8:AJ23">$F8*AH$6</f>
        <v>2879.0232809</v>
      </c>
      <c r="AK8" s="35">
        <f aca="true" t="shared" si="19" ref="AK8:AK23">$G8*AH$6</f>
        <v>29.9144911</v>
      </c>
      <c r="AN8" s="5">
        <f aca="true" t="shared" si="20" ref="AN8:AN23">$D8*AN$6</f>
        <v>2780.744625</v>
      </c>
      <c r="AO8" s="5">
        <f aca="true" t="shared" si="21" ref="AO8:AO23">AM8+AN8</f>
        <v>2780.744625</v>
      </c>
      <c r="AP8" s="35">
        <f aca="true" t="shared" si="22" ref="AP8:AP23">$F8*AN$6</f>
        <v>1279.1767897</v>
      </c>
      <c r="AQ8" s="35">
        <f aca="true" t="shared" si="23" ref="AQ8:AQ23">$G8*AN$6</f>
        <v>13.2912863</v>
      </c>
      <c r="AT8" s="5">
        <f aca="true" t="shared" si="24" ref="AT8:AT23">$D8*AT$6</f>
        <v>1767.8913750000002</v>
      </c>
      <c r="AU8" s="5">
        <f aca="true" t="shared" si="25" ref="AU8:AU23">AS8+AT8</f>
        <v>1767.8913750000002</v>
      </c>
      <c r="AV8" s="35">
        <f aca="true" t="shared" si="26" ref="AV8:AV23">$F8*AT$6</f>
        <v>813.2518151</v>
      </c>
      <c r="AW8" s="35">
        <f aca="true" t="shared" si="27" ref="AW8:AW23">$G8*AT$6</f>
        <v>8.4500929</v>
      </c>
      <c r="AZ8" s="5">
        <f aca="true" t="shared" si="28" ref="AZ8:AZ23">$D8*AZ$6</f>
        <v>4770.545625</v>
      </c>
      <c r="BA8" s="5">
        <f aca="true" t="shared" si="29" ref="BA8:BA23">AY8+AZ8</f>
        <v>4770.545625</v>
      </c>
      <c r="BB8" s="35">
        <f aca="true" t="shared" si="30" ref="BB8:BB23">$F8*AZ$6</f>
        <v>2194.5097665</v>
      </c>
      <c r="BC8" s="35">
        <f aca="true" t="shared" si="31" ref="BC8:BC23">$G8*AZ$6</f>
        <v>22.8020535</v>
      </c>
      <c r="BF8" s="5">
        <f aca="true" t="shared" si="32" ref="BF8:BF23">$D8*BF$6</f>
        <v>0.9089999999999999</v>
      </c>
      <c r="BG8" s="5">
        <f aca="true" t="shared" si="33" ref="BG8:BG23">BE8+BF8</f>
        <v>0.9089999999999999</v>
      </c>
      <c r="BH8" s="35">
        <f aca="true" t="shared" si="34" ref="BH8:BH23">$F8*BF$6</f>
        <v>0.4181512</v>
      </c>
      <c r="BI8" s="35">
        <f aca="true" t="shared" si="35" ref="BI8:BI23">$G8*BF$6</f>
        <v>0.0043448</v>
      </c>
      <c r="BL8" s="5">
        <f aca="true" t="shared" si="36" ref="BL8:BL23">$D8*BL$6</f>
        <v>2951.182125</v>
      </c>
      <c r="BM8" s="35">
        <f aca="true" t="shared" si="37" ref="BM8:BM23">BK8+BL8</f>
        <v>2951.182125</v>
      </c>
      <c r="BN8" s="35">
        <f aca="true" t="shared" si="38" ref="BN8:BN23">$F8*BL$6</f>
        <v>1357.5801397</v>
      </c>
      <c r="BO8" s="35">
        <f aca="true" t="shared" si="39" ref="BO8:BO23">$G8*BL$6</f>
        <v>14.1059363</v>
      </c>
      <c r="BR8" s="5">
        <f aca="true" t="shared" si="40" ref="BR8:BR23">$D8*BR$6</f>
        <v>5432.297625</v>
      </c>
      <c r="BS8" s="5">
        <f aca="true" t="shared" si="41" ref="BS8:BS23">BQ8+BR8</f>
        <v>5432.297625</v>
      </c>
      <c r="BT8" s="35">
        <f aca="true" t="shared" si="42" ref="BT8:BT23">$F8*BR$6</f>
        <v>2498.9238401000002</v>
      </c>
      <c r="BU8" s="35">
        <f aca="true" t="shared" si="43" ref="BU8:BU23">$G8*BR$6</f>
        <v>25.9650679</v>
      </c>
      <c r="BX8" s="5">
        <f aca="true" t="shared" si="44" ref="BX8:BX23">$D8*BX$6</f>
        <v>14139.949499999999</v>
      </c>
      <c r="BY8" s="5">
        <f aca="true" t="shared" si="45" ref="BY8:BY23">BW8+BX8</f>
        <v>14139.949499999999</v>
      </c>
      <c r="BZ8" s="35">
        <f aca="true" t="shared" si="46" ref="BZ8:BZ23">$F8*BX$6</f>
        <v>6504.5509916</v>
      </c>
      <c r="CA8" s="35">
        <f aca="true" t="shared" si="47" ref="CA8:CA23">$G8*BX$6</f>
        <v>67.5855364</v>
      </c>
      <c r="CD8" s="5">
        <f aca="true" t="shared" si="48" ref="CD8:CD23">$D8*CD$6</f>
        <v>1438.3788749999999</v>
      </c>
      <c r="CE8" s="5">
        <f aca="true" t="shared" si="49" ref="CE8:CE23">CC8+CD8</f>
        <v>1438.3788749999999</v>
      </c>
      <c r="CF8" s="35">
        <f aca="true" t="shared" si="50" ref="CF8:CF23">$F8*CD$6</f>
        <v>661.6720051</v>
      </c>
      <c r="CG8" s="35">
        <f aca="true" t="shared" si="51" ref="CG8:CG23">$G8*CD$6</f>
        <v>6.8751029</v>
      </c>
      <c r="CJ8" s="5">
        <f aca="true" t="shared" si="52" ref="CJ8:CJ23">$D8*CJ$6</f>
        <v>179.75475</v>
      </c>
      <c r="CK8" s="5">
        <f aca="true" t="shared" si="53" ref="CK8:CK23">CI8+CJ8</f>
        <v>179.75475</v>
      </c>
      <c r="CL8" s="35">
        <f aca="true" t="shared" si="54" ref="CL8:CL23">$F8*CJ$6</f>
        <v>82.6893998</v>
      </c>
      <c r="CM8" s="35">
        <f aca="true" t="shared" si="55" ref="CM8:CM23">$G8*CJ$6</f>
        <v>0.8591842</v>
      </c>
      <c r="CP8" s="5">
        <f aca="true" t="shared" si="56" ref="CP8:CP23">$D8*CP$6</f>
        <v>162.370125</v>
      </c>
      <c r="CQ8" s="5">
        <f aca="true" t="shared" si="57" ref="CQ8:CQ23">CO8+CP8</f>
        <v>162.370125</v>
      </c>
      <c r="CR8" s="35">
        <f aca="true" t="shared" si="58" ref="CR8:CR23">$F8*CP$6</f>
        <v>74.6922581</v>
      </c>
      <c r="CS8" s="35">
        <f aca="true" t="shared" si="59" ref="CS8:CS23">$G8*CP$6</f>
        <v>0.7760899</v>
      </c>
      <c r="CV8" s="5">
        <f aca="true" t="shared" si="60" ref="CV8:CV23">$D8*CV$6</f>
        <v>4037.209875</v>
      </c>
      <c r="CW8" s="5">
        <f aca="true" t="shared" si="61" ref="CW8:CW23">CU8+CV8</f>
        <v>4037.209875</v>
      </c>
      <c r="CX8" s="35">
        <f aca="true" t="shared" si="62" ref="CX8:CX23">$F8*CV$6</f>
        <v>1857.1662859</v>
      </c>
      <c r="CY8" s="35">
        <f aca="true" t="shared" si="63" ref="CY8:CY23">$G8*CV$6</f>
        <v>19.296886100000002</v>
      </c>
      <c r="DB8" s="5">
        <f aca="true" t="shared" si="64" ref="DB8:DB23">$D8*DB$6</f>
        <v>313.37775</v>
      </c>
      <c r="DC8" s="5">
        <f aca="true" t="shared" si="65" ref="DC8:DC23">DA8+DB8</f>
        <v>313.37775</v>
      </c>
      <c r="DD8" s="35">
        <f aca="true" t="shared" si="66" ref="DD8:DD23">$F8*DB$6</f>
        <v>144.15762619999998</v>
      </c>
      <c r="DE8" s="35">
        <f aca="true" t="shared" si="67" ref="DE8:DE23">$G8*DB$6</f>
        <v>1.4978698</v>
      </c>
      <c r="DH8" s="5">
        <f aca="true" t="shared" si="68" ref="DH8:DH23">$D8*DH$6</f>
        <v>2478.729375</v>
      </c>
      <c r="DI8" s="35">
        <f aca="true" t="shared" si="69" ref="DI8:DI23">DG8+DH8</f>
        <v>2478.729375</v>
      </c>
      <c r="DJ8" s="35">
        <f aca="true" t="shared" si="70" ref="DJ8:DJ23">$F8*DH$6</f>
        <v>1140.2460535</v>
      </c>
      <c r="DK8" s="35">
        <f aca="true" t="shared" si="71" ref="DK8:DK23">$G8*DH$6</f>
        <v>11.847726499999998</v>
      </c>
      <c r="DN8" s="5">
        <f aca="true" t="shared" si="72" ref="DN8:DN23">$D8*DN$6</f>
        <v>12798.833625000001</v>
      </c>
      <c r="DO8" s="5">
        <f aca="true" t="shared" si="73" ref="DO8:DO23">DM8+DN8</f>
        <v>12798.833625000001</v>
      </c>
      <c r="DP8" s="35">
        <f aca="true" t="shared" si="74" ref="DP8:DP23">$F8*DN$6</f>
        <v>5887.621164900001</v>
      </c>
      <c r="DQ8" s="35">
        <f aca="true" t="shared" si="75" ref="DQ8:DQ23">$G8*DN$6</f>
        <v>61.175327100000004</v>
      </c>
      <c r="DT8" s="5">
        <f aca="true" t="shared" si="76" ref="DT8:DT23">$D8*DT$6</f>
        <v>1015.466625</v>
      </c>
      <c r="DU8" s="5">
        <f aca="true" t="shared" si="77" ref="DU8:DU23">DS8+DT8</f>
        <v>1015.466625</v>
      </c>
      <c r="DV8" s="35">
        <f aca="true" t="shared" si="78" ref="DV8:DV23">$F8*DT$6</f>
        <v>467.1271593</v>
      </c>
      <c r="DW8" s="35">
        <f aca="true" t="shared" si="79" ref="DW8:DW23">$G8*DT$6</f>
        <v>4.8536847</v>
      </c>
      <c r="DZ8" s="5">
        <f aca="true" t="shared" si="80" ref="DZ8:DZ23">$D8*DZ$6</f>
        <v>2756.997</v>
      </c>
      <c r="EA8" s="5">
        <f aca="true" t="shared" si="81" ref="EA8:EA23">DY8+DZ8</f>
        <v>2756.997</v>
      </c>
      <c r="EB8" s="35">
        <f aca="true" t="shared" si="82" ref="EB8:EB23">$F8*DZ$6</f>
        <v>1268.2525896</v>
      </c>
      <c r="EC8" s="35">
        <f aca="true" t="shared" si="83" ref="EC8:EC23">$G8*DZ$6</f>
        <v>13.1777784</v>
      </c>
      <c r="EF8" s="5">
        <f aca="true" t="shared" si="84" ref="EF8:EF23">$D8*EF$6</f>
        <v>3091.5090000000005</v>
      </c>
      <c r="EG8" s="35">
        <f aca="true" t="shared" si="85" ref="EG8:EG23">EE8+EF8</f>
        <v>3091.5090000000005</v>
      </c>
      <c r="EH8" s="35">
        <f aca="true" t="shared" si="86" ref="EH8:EH23">$F8*EF$6</f>
        <v>1422.1322312000002</v>
      </c>
      <c r="EI8" s="35">
        <f aca="true" t="shared" si="87" ref="EI8:EI23">$G8*EF$6</f>
        <v>14.7766648</v>
      </c>
      <c r="EL8" s="5">
        <f aca="true" t="shared" si="88" ref="EL8:EL23">$D8*EL$6</f>
        <v>7789.561874999999</v>
      </c>
      <c r="EM8" s="35">
        <f aca="true" t="shared" si="89" ref="EM8:EM23">EK8+EL8</f>
        <v>7789.561874999999</v>
      </c>
      <c r="EN8" s="35">
        <f aca="true" t="shared" si="90" ref="EN8:EN23">$F8*EL$6</f>
        <v>3583.2944395</v>
      </c>
      <c r="EO8" s="35">
        <f aca="true" t="shared" si="91" ref="EO8:EO23">$G8*EL$6</f>
        <v>37.2322205</v>
      </c>
      <c r="ER8" s="5">
        <f aca="true" t="shared" si="92" ref="ER8:ER23">$D8*ER$6</f>
        <v>11967.780375</v>
      </c>
      <c r="ES8" s="35">
        <f aca="true" t="shared" si="93" ref="ES8:ES23">EQ8+ER8</f>
        <v>11967.780375</v>
      </c>
      <c r="ET8" s="35">
        <f aca="true" t="shared" si="94" ref="ET8:ET23">$F8*ER$6</f>
        <v>5505.3264303000005</v>
      </c>
      <c r="EU8" s="35">
        <f aca="true" t="shared" si="95" ref="EU8:EU23">$G8*ER$6</f>
        <v>57.203093700000004</v>
      </c>
      <c r="EX8" s="5">
        <f aca="true" t="shared" si="96" ref="EX8:EX23">$D8*EX$6</f>
        <v>56732.848874999996</v>
      </c>
      <c r="EY8" s="5">
        <f aca="true" t="shared" si="97" ref="EY8:EY23">EW8+EX8</f>
        <v>56732.848874999996</v>
      </c>
      <c r="EZ8" s="35">
        <f aca="true" t="shared" si="98" ref="EZ8:EZ23">$F8*EX$6</f>
        <v>26097.8095011</v>
      </c>
      <c r="FA8" s="35">
        <f aca="true" t="shared" si="99" ref="FA8:FA23">$G8*EX$6</f>
        <v>271.1692869</v>
      </c>
      <c r="FD8" s="5">
        <f aca="true" t="shared" si="100" ref="FD8:FD23">$D8*FD$6</f>
        <v>47989.064249999996</v>
      </c>
      <c r="FE8" s="5">
        <f aca="true" t="shared" si="101" ref="FE8:FE23">FC8+FD8</f>
        <v>47989.064249999996</v>
      </c>
      <c r="FF8" s="35">
        <f aca="true" t="shared" si="102" ref="FF8:FF23">$F8*FD$6</f>
        <v>22075.560839399997</v>
      </c>
      <c r="FG8" s="35">
        <f aca="true" t="shared" si="103" ref="FG8:FG23">$G8*FD$6</f>
        <v>229.37611259999997</v>
      </c>
      <c r="FJ8" s="5">
        <f aca="true" t="shared" si="104" ref="FJ8:FJ23">$D8*FJ$6</f>
        <v>301.10625</v>
      </c>
      <c r="FK8" s="5">
        <f aca="true" t="shared" si="105" ref="FK8:FK23">FI8+FJ8</f>
        <v>301.10625</v>
      </c>
      <c r="FL8" s="35">
        <f aca="true" t="shared" si="106" ref="FL8:FL23">$F8*FJ$6</f>
        <v>138.512585</v>
      </c>
      <c r="FM8" s="35">
        <f aca="true" t="shared" si="107" ref="FM8:FM23">$G8*FJ$6</f>
        <v>1.439215</v>
      </c>
      <c r="FP8" s="5">
        <f aca="true" t="shared" si="108" ref="FP8:FP23">$D8*FP$6</f>
        <v>847.983375</v>
      </c>
      <c r="FQ8" s="5">
        <f aca="true" t="shared" si="109" ref="FQ8:FQ23">FO8+FP8</f>
        <v>847.983375</v>
      </c>
      <c r="FR8" s="35">
        <f aca="true" t="shared" si="110" ref="FR8:FR23">$F8*FP$6</f>
        <v>390.0828007</v>
      </c>
      <c r="FS8" s="35">
        <f aca="true" t="shared" si="111" ref="FS8:FS23">$G8*FP$6</f>
        <v>4.0531553</v>
      </c>
    </row>
    <row r="9" spans="1:175" ht="12.75">
      <c r="A9" s="36">
        <v>45017</v>
      </c>
      <c r="C9" s="77">
        <f>'2019C'!C9</f>
        <v>5240000</v>
      </c>
      <c r="D9" s="77">
        <f>'2019C'!D9</f>
        <v>1136250</v>
      </c>
      <c r="E9" s="34">
        <f t="shared" si="0"/>
        <v>6376250</v>
      </c>
      <c r="F9" s="77">
        <f>'2019C'!F9</f>
        <v>522689</v>
      </c>
      <c r="G9" s="77">
        <f>'2019C'!G9</f>
        <v>5431</v>
      </c>
      <c r="I9" s="46">
        <f>O9+U9+AG9+AM9+AS9+AA9+AY9+BE9+BK9+BQ9+BW9+CC9+CI9+CO9+CU9+DA9+DG9+DM9+DS9+DY9+EE9+EK9+EQ9+EW9+FC9+FI9+FO9</f>
        <v>1169730.44</v>
      </c>
      <c r="J9" s="35">
        <f t="shared" si="1"/>
        <v>253646.22375000003</v>
      </c>
      <c r="K9" s="35">
        <f t="shared" si="2"/>
        <v>1423376.66375</v>
      </c>
      <c r="L9" s="35">
        <f t="shared" si="3"/>
        <v>116680.38815900001</v>
      </c>
      <c r="M9" s="35">
        <f t="shared" si="3"/>
        <v>1212.3675610000003</v>
      </c>
      <c r="O9" s="5">
        <f aca="true" t="shared" si="112" ref="O9:O23">$C9*P$6</f>
        <v>245240.908</v>
      </c>
      <c r="P9" s="5">
        <f t="shared" si="4"/>
        <v>53178.431625000005</v>
      </c>
      <c r="Q9" s="5">
        <f t="shared" si="5"/>
        <v>298419.339625</v>
      </c>
      <c r="R9" s="35">
        <f t="shared" si="6"/>
        <v>24462.7337713</v>
      </c>
      <c r="S9" s="35">
        <f t="shared" si="7"/>
        <v>254.1800327</v>
      </c>
      <c r="U9" s="5">
        <f aca="true" t="shared" si="113" ref="U9:U23">$C9*V$6</f>
        <v>34131.788</v>
      </c>
      <c r="V9" s="5">
        <f t="shared" si="8"/>
        <v>7401.1916249999995</v>
      </c>
      <c r="W9" s="35">
        <f t="shared" si="9"/>
        <v>41532.979625</v>
      </c>
      <c r="X9" s="35">
        <f t="shared" si="10"/>
        <v>3404.6393393</v>
      </c>
      <c r="Y9" s="35">
        <f t="shared" si="11"/>
        <v>35.3759047</v>
      </c>
      <c r="Z9" s="35"/>
      <c r="AA9" s="5">
        <f aca="true" t="shared" si="114" ref="AA9:AA23">$C9*AB$6</f>
        <v>4904.64</v>
      </c>
      <c r="AB9" s="5">
        <f t="shared" si="12"/>
        <v>1063.53</v>
      </c>
      <c r="AC9" s="5">
        <f t="shared" si="13"/>
        <v>5968.17</v>
      </c>
      <c r="AD9" s="35">
        <f t="shared" si="14"/>
        <v>489.236904</v>
      </c>
      <c r="AE9" s="35">
        <f t="shared" si="15"/>
        <v>5.083416</v>
      </c>
      <c r="AG9" s="5">
        <f aca="true" t="shared" si="115" ref="AG9:AG23">$C9*AH$6</f>
        <v>28862.444</v>
      </c>
      <c r="AH9" s="5">
        <f t="shared" si="16"/>
        <v>6258.578625</v>
      </c>
      <c r="AI9" s="5">
        <f t="shared" si="17"/>
        <v>35121.022625</v>
      </c>
      <c r="AJ9" s="35">
        <f t="shared" si="18"/>
        <v>2879.0232809</v>
      </c>
      <c r="AK9" s="35">
        <f t="shared" si="19"/>
        <v>29.9144911</v>
      </c>
      <c r="AM9" s="5">
        <f aca="true" t="shared" si="116" ref="AM9:AM23">$C9*AN$6</f>
        <v>12823.851999999999</v>
      </c>
      <c r="AN9" s="5">
        <f t="shared" si="20"/>
        <v>2780.744625</v>
      </c>
      <c r="AO9" s="5">
        <f t="shared" si="21"/>
        <v>15604.596624999998</v>
      </c>
      <c r="AP9" s="35">
        <f t="shared" si="22"/>
        <v>1279.1767897</v>
      </c>
      <c r="AQ9" s="35">
        <f t="shared" si="23"/>
        <v>13.2912863</v>
      </c>
      <c r="AS9" s="5">
        <f aca="true" t="shared" si="117" ref="AS9:AS23">$C9*AT$6</f>
        <v>8152.916</v>
      </c>
      <c r="AT9" s="5">
        <f t="shared" si="24"/>
        <v>1767.8913750000002</v>
      </c>
      <c r="AU9" s="5">
        <f t="shared" si="25"/>
        <v>9920.807375</v>
      </c>
      <c r="AV9" s="35">
        <f t="shared" si="26"/>
        <v>813.2518151</v>
      </c>
      <c r="AW9" s="35">
        <f t="shared" si="27"/>
        <v>8.4500929</v>
      </c>
      <c r="AY9" s="5">
        <f aca="true" t="shared" si="118" ref="AY9:AY23">$C9*AZ$6</f>
        <v>22000.14</v>
      </c>
      <c r="AZ9" s="5">
        <f t="shared" si="28"/>
        <v>4770.545625</v>
      </c>
      <c r="BA9" s="5">
        <f t="shared" si="29"/>
        <v>26770.685625</v>
      </c>
      <c r="BB9" s="35">
        <f t="shared" si="30"/>
        <v>2194.5097665</v>
      </c>
      <c r="BC9" s="35">
        <f t="shared" si="31"/>
        <v>22.8020535</v>
      </c>
      <c r="BE9" s="5">
        <f aca="true" t="shared" si="119" ref="BE9:BE23">$C9*BF$6</f>
        <v>4.192</v>
      </c>
      <c r="BF9" s="5">
        <f t="shared" si="32"/>
        <v>0.9089999999999999</v>
      </c>
      <c r="BG9" s="5">
        <f t="shared" si="33"/>
        <v>5.101</v>
      </c>
      <c r="BH9" s="35">
        <f t="shared" si="34"/>
        <v>0.4181512</v>
      </c>
      <c r="BI9" s="35">
        <f t="shared" si="35"/>
        <v>0.0043448</v>
      </c>
      <c r="BK9" s="5">
        <f aca="true" t="shared" si="120" ref="BK9:BK23">$C9*BL$6</f>
        <v>13609.851999999999</v>
      </c>
      <c r="BL9" s="5">
        <f t="shared" si="36"/>
        <v>2951.182125</v>
      </c>
      <c r="BM9" s="35">
        <f t="shared" si="37"/>
        <v>16561.034125</v>
      </c>
      <c r="BN9" s="35">
        <f t="shared" si="38"/>
        <v>1357.5801397</v>
      </c>
      <c r="BO9" s="35">
        <f t="shared" si="39"/>
        <v>14.1059363</v>
      </c>
      <c r="BQ9" s="5">
        <f aca="true" t="shared" si="121" ref="BQ9:BQ23">$C9*BR$6</f>
        <v>25051.916</v>
      </c>
      <c r="BR9" s="5">
        <f t="shared" si="40"/>
        <v>5432.297625</v>
      </c>
      <c r="BS9" s="5">
        <f t="shared" si="41"/>
        <v>30484.213625</v>
      </c>
      <c r="BT9" s="35">
        <f t="shared" si="42"/>
        <v>2498.9238401000002</v>
      </c>
      <c r="BU9" s="35">
        <f t="shared" si="43"/>
        <v>25.9650679</v>
      </c>
      <c r="BW9" s="5">
        <f aca="true" t="shared" si="122" ref="BW9:BW23">$C9*BX$6</f>
        <v>65208.655999999995</v>
      </c>
      <c r="BX9" s="5">
        <f t="shared" si="44"/>
        <v>14139.949499999999</v>
      </c>
      <c r="BY9" s="5">
        <f t="shared" si="45"/>
        <v>79348.60549999999</v>
      </c>
      <c r="BZ9" s="35">
        <f t="shared" si="46"/>
        <v>6504.5509916</v>
      </c>
      <c r="CA9" s="35">
        <f t="shared" si="47"/>
        <v>67.5855364</v>
      </c>
      <c r="CC9" s="5">
        <f aca="true" t="shared" si="123" ref="CC9:CC23">$C9*CD$6</f>
        <v>6633.316</v>
      </c>
      <c r="CD9" s="5">
        <f t="shared" si="48"/>
        <v>1438.3788749999999</v>
      </c>
      <c r="CE9" s="5">
        <f t="shared" si="49"/>
        <v>8071.694874999999</v>
      </c>
      <c r="CF9" s="35">
        <f t="shared" si="50"/>
        <v>661.6720051</v>
      </c>
      <c r="CG9" s="35">
        <f t="shared" si="51"/>
        <v>6.8751029</v>
      </c>
      <c r="CI9" s="5">
        <f aca="true" t="shared" si="124" ref="CI9:CI23">$C9*CJ$6</f>
        <v>828.968</v>
      </c>
      <c r="CJ9" s="5">
        <f t="shared" si="52"/>
        <v>179.75475</v>
      </c>
      <c r="CK9" s="5">
        <f t="shared" si="53"/>
        <v>1008.7227499999999</v>
      </c>
      <c r="CL9" s="35">
        <f t="shared" si="54"/>
        <v>82.6893998</v>
      </c>
      <c r="CM9" s="35">
        <f t="shared" si="55"/>
        <v>0.8591842</v>
      </c>
      <c r="CO9" s="5">
        <f aca="true" t="shared" si="125" ref="CO9:CO23">$C9*CP$6</f>
        <v>748.796</v>
      </c>
      <c r="CP9" s="5">
        <f t="shared" si="56"/>
        <v>162.370125</v>
      </c>
      <c r="CQ9" s="5">
        <f t="shared" si="57"/>
        <v>911.1661250000001</v>
      </c>
      <c r="CR9" s="35">
        <f t="shared" si="58"/>
        <v>74.6922581</v>
      </c>
      <c r="CS9" s="35">
        <f t="shared" si="59"/>
        <v>0.7760899</v>
      </c>
      <c r="CU9" s="5">
        <f aca="true" t="shared" si="126" ref="CU9:CU23">$C9*CV$6</f>
        <v>18618.244</v>
      </c>
      <c r="CV9" s="5">
        <f t="shared" si="60"/>
        <v>4037.209875</v>
      </c>
      <c r="CW9" s="5">
        <f t="shared" si="61"/>
        <v>22655.453875</v>
      </c>
      <c r="CX9" s="35">
        <f t="shared" si="62"/>
        <v>1857.1662859</v>
      </c>
      <c r="CY9" s="35">
        <f t="shared" si="63"/>
        <v>19.296886100000002</v>
      </c>
      <c r="DA9" s="5">
        <f aca="true" t="shared" si="127" ref="DA9:DA23">$C9*DB$6</f>
        <v>1445.192</v>
      </c>
      <c r="DB9" s="5">
        <f t="shared" si="64"/>
        <v>313.37775</v>
      </c>
      <c r="DC9" s="5">
        <f t="shared" si="65"/>
        <v>1758.56975</v>
      </c>
      <c r="DD9" s="35">
        <f t="shared" si="66"/>
        <v>144.15762619999998</v>
      </c>
      <c r="DE9" s="35">
        <f t="shared" si="67"/>
        <v>1.4978698</v>
      </c>
      <c r="DG9" s="5">
        <f aca="true" t="shared" si="128" ref="DG9:DG23">$C9*DH$6</f>
        <v>11431.06</v>
      </c>
      <c r="DH9" s="5">
        <f t="shared" si="68"/>
        <v>2478.729375</v>
      </c>
      <c r="DI9" s="35">
        <f t="shared" si="69"/>
        <v>13909.789375</v>
      </c>
      <c r="DJ9" s="35">
        <f t="shared" si="70"/>
        <v>1140.2460535</v>
      </c>
      <c r="DK9" s="35">
        <f t="shared" si="71"/>
        <v>11.847726499999998</v>
      </c>
      <c r="DM9" s="5">
        <f aca="true" t="shared" si="129" ref="DM9:DM23">$C9*DN$6</f>
        <v>59023.884000000005</v>
      </c>
      <c r="DN9" s="5">
        <f t="shared" si="72"/>
        <v>12798.833625000001</v>
      </c>
      <c r="DO9" s="5">
        <f t="shared" si="73"/>
        <v>71822.717625</v>
      </c>
      <c r="DP9" s="35">
        <f t="shared" si="74"/>
        <v>5887.621164900001</v>
      </c>
      <c r="DQ9" s="35">
        <f t="shared" si="75"/>
        <v>61.175327100000004</v>
      </c>
      <c r="DS9" s="5">
        <f aca="true" t="shared" si="130" ref="DS9:DS23">$C9*DT$6</f>
        <v>4682.988</v>
      </c>
      <c r="DT9" s="5">
        <f t="shared" si="76"/>
        <v>1015.466625</v>
      </c>
      <c r="DU9" s="5">
        <f t="shared" si="77"/>
        <v>5698.454625</v>
      </c>
      <c r="DV9" s="35">
        <f t="shared" si="78"/>
        <v>467.1271593</v>
      </c>
      <c r="DW9" s="35">
        <f t="shared" si="79"/>
        <v>4.8536847</v>
      </c>
      <c r="DY9" s="5">
        <f aca="true" t="shared" si="131" ref="DY9:DY23">$C9*DZ$6</f>
        <v>12714.336</v>
      </c>
      <c r="DZ9" s="5">
        <f t="shared" si="80"/>
        <v>2756.997</v>
      </c>
      <c r="EA9" s="5">
        <f t="shared" si="81"/>
        <v>15471.332999999999</v>
      </c>
      <c r="EB9" s="35">
        <f t="shared" si="82"/>
        <v>1268.2525896</v>
      </c>
      <c r="EC9" s="35">
        <f t="shared" si="83"/>
        <v>13.1777784</v>
      </c>
      <c r="EE9" s="5">
        <f aca="true" t="shared" si="132" ref="EE9:EE23">$C9*EF$6</f>
        <v>14256.992000000002</v>
      </c>
      <c r="EF9" s="5">
        <f t="shared" si="84"/>
        <v>3091.5090000000005</v>
      </c>
      <c r="EG9" s="35">
        <f t="shared" si="85"/>
        <v>17348.501000000004</v>
      </c>
      <c r="EH9" s="35">
        <f t="shared" si="86"/>
        <v>1422.1322312000002</v>
      </c>
      <c r="EI9" s="35">
        <f t="shared" si="87"/>
        <v>14.7766648</v>
      </c>
      <c r="EK9" s="5">
        <f aca="true" t="shared" si="133" ref="EK9:EK23">$C9*EL$6</f>
        <v>35922.82</v>
      </c>
      <c r="EL9" s="5">
        <f t="shared" si="88"/>
        <v>7789.561874999999</v>
      </c>
      <c r="EM9" s="35">
        <f t="shared" si="89"/>
        <v>43712.381875</v>
      </c>
      <c r="EN9" s="35">
        <f t="shared" si="90"/>
        <v>3583.2944395</v>
      </c>
      <c r="EO9" s="35">
        <f t="shared" si="91"/>
        <v>37.2322205</v>
      </c>
      <c r="EQ9" s="5">
        <f aca="true" t="shared" si="134" ref="EQ9:EQ23">$C9*ER$6</f>
        <v>55191.348000000005</v>
      </c>
      <c r="ER9" s="5">
        <f t="shared" si="92"/>
        <v>11967.780375</v>
      </c>
      <c r="ES9" s="35">
        <f t="shared" si="93"/>
        <v>67159.128375</v>
      </c>
      <c r="ET9" s="35">
        <f t="shared" si="94"/>
        <v>5505.3264303000005</v>
      </c>
      <c r="EU9" s="35">
        <f t="shared" si="95"/>
        <v>57.203093700000004</v>
      </c>
      <c r="EW9" s="5">
        <f aca="true" t="shared" si="135" ref="EW9:EW23">$C9*EX$6</f>
        <v>261632.676</v>
      </c>
      <c r="EX9" s="5">
        <f t="shared" si="96"/>
        <v>56732.848874999996</v>
      </c>
      <c r="EY9" s="5">
        <f t="shared" si="97"/>
        <v>318365.524875</v>
      </c>
      <c r="EZ9" s="35">
        <f t="shared" si="98"/>
        <v>26097.8095011</v>
      </c>
      <c r="FA9" s="35">
        <f t="shared" si="99"/>
        <v>271.1692869</v>
      </c>
      <c r="FC9" s="5">
        <f aca="true" t="shared" si="136" ref="FC9:FC23">$C9*FD$6</f>
        <v>221309.30399999997</v>
      </c>
      <c r="FD9" s="5">
        <f t="shared" si="100"/>
        <v>47989.064249999996</v>
      </c>
      <c r="FE9" s="5">
        <f t="shared" si="101"/>
        <v>269298.36824999994</v>
      </c>
      <c r="FF9" s="35">
        <f t="shared" si="102"/>
        <v>22075.560839399997</v>
      </c>
      <c r="FG9" s="35">
        <f t="shared" si="103"/>
        <v>229.37611259999997</v>
      </c>
      <c r="FI9" s="5">
        <f aca="true" t="shared" si="137" ref="FI9:FI23">$C9*FJ$6</f>
        <v>1388.6</v>
      </c>
      <c r="FJ9" s="5">
        <f t="shared" si="104"/>
        <v>301.10625</v>
      </c>
      <c r="FK9" s="5">
        <f t="shared" si="105"/>
        <v>1689.70625</v>
      </c>
      <c r="FL9" s="35">
        <f t="shared" si="106"/>
        <v>138.512585</v>
      </c>
      <c r="FM9" s="35">
        <f t="shared" si="107"/>
        <v>1.439215</v>
      </c>
      <c r="FO9" s="5">
        <f aca="true" t="shared" si="138" ref="FO9:FO23">$C9*FP$6</f>
        <v>3910.612</v>
      </c>
      <c r="FP9" s="5">
        <f t="shared" si="108"/>
        <v>847.983375</v>
      </c>
      <c r="FQ9" s="5">
        <f t="shared" si="109"/>
        <v>4758.595375</v>
      </c>
      <c r="FR9" s="35">
        <f t="shared" si="110"/>
        <v>390.0828007</v>
      </c>
      <c r="FS9" s="35">
        <f t="shared" si="111"/>
        <v>4.0531553</v>
      </c>
    </row>
    <row r="10" spans="1:175" ht="12.75">
      <c r="A10" s="36">
        <v>45200</v>
      </c>
      <c r="C10" s="77">
        <f>'2019C'!C10</f>
        <v>0</v>
      </c>
      <c r="D10" s="77">
        <f>'2019C'!D10</f>
        <v>1031450</v>
      </c>
      <c r="E10" s="34">
        <f t="shared" si="0"/>
        <v>1031450</v>
      </c>
      <c r="F10" s="77">
        <f>'2019C'!F10</f>
        <v>522689</v>
      </c>
      <c r="G10" s="77">
        <f>'2019C'!G10</f>
        <v>5431</v>
      </c>
      <c r="I10" s="46"/>
      <c r="J10" s="35">
        <f t="shared" si="1"/>
        <v>230251.61495000002</v>
      </c>
      <c r="K10" s="35">
        <f t="shared" si="2"/>
        <v>230251.61495000002</v>
      </c>
      <c r="L10" s="35">
        <f t="shared" si="3"/>
        <v>116680.38815900001</v>
      </c>
      <c r="M10" s="35">
        <f t="shared" si="3"/>
        <v>1212.3675610000003</v>
      </c>
      <c r="P10" s="5">
        <f t="shared" si="4"/>
        <v>48273.613465</v>
      </c>
      <c r="Q10" s="5">
        <f t="shared" si="5"/>
        <v>48273.613465</v>
      </c>
      <c r="R10" s="35">
        <f t="shared" si="6"/>
        <v>24462.7337713</v>
      </c>
      <c r="S10" s="35">
        <f t="shared" si="7"/>
        <v>254.1800327</v>
      </c>
      <c r="V10" s="5">
        <f t="shared" si="8"/>
        <v>6718.555865</v>
      </c>
      <c r="W10" s="35">
        <f t="shared" si="9"/>
        <v>6718.555865</v>
      </c>
      <c r="X10" s="35">
        <f t="shared" si="10"/>
        <v>3404.6393393</v>
      </c>
      <c r="Y10" s="35">
        <f t="shared" si="11"/>
        <v>35.3759047</v>
      </c>
      <c r="Z10" s="35"/>
      <c r="AB10" s="5">
        <f t="shared" si="12"/>
        <v>965.4372</v>
      </c>
      <c r="AC10" s="5">
        <f t="shared" si="13"/>
        <v>965.4372</v>
      </c>
      <c r="AD10" s="35">
        <f t="shared" si="14"/>
        <v>489.236904</v>
      </c>
      <c r="AE10" s="35">
        <f t="shared" si="15"/>
        <v>5.083416</v>
      </c>
      <c r="AH10" s="5">
        <f t="shared" si="16"/>
        <v>5681.329745</v>
      </c>
      <c r="AI10" s="5">
        <f t="shared" si="17"/>
        <v>5681.329745</v>
      </c>
      <c r="AJ10" s="35">
        <f t="shared" si="18"/>
        <v>2879.0232809</v>
      </c>
      <c r="AK10" s="35">
        <f t="shared" si="19"/>
        <v>29.9144911</v>
      </c>
      <c r="AN10" s="5">
        <f t="shared" si="20"/>
        <v>2524.267585</v>
      </c>
      <c r="AO10" s="5">
        <f t="shared" si="21"/>
        <v>2524.267585</v>
      </c>
      <c r="AP10" s="35">
        <f t="shared" si="22"/>
        <v>1279.1767897</v>
      </c>
      <c r="AQ10" s="35">
        <f t="shared" si="23"/>
        <v>13.2912863</v>
      </c>
      <c r="AT10" s="5">
        <f t="shared" si="24"/>
        <v>1604.833055</v>
      </c>
      <c r="AU10" s="5">
        <f t="shared" si="25"/>
        <v>1604.833055</v>
      </c>
      <c r="AV10" s="35">
        <f t="shared" si="26"/>
        <v>813.2518151</v>
      </c>
      <c r="AW10" s="35">
        <f t="shared" si="27"/>
        <v>8.4500929</v>
      </c>
      <c r="AZ10" s="5">
        <f t="shared" si="28"/>
        <v>4330.5428249999995</v>
      </c>
      <c r="BA10" s="5">
        <f t="shared" si="29"/>
        <v>4330.5428249999995</v>
      </c>
      <c r="BB10" s="35">
        <f t="shared" si="30"/>
        <v>2194.5097665</v>
      </c>
      <c r="BC10" s="35">
        <f t="shared" si="31"/>
        <v>22.8020535</v>
      </c>
      <c r="BF10" s="5">
        <f t="shared" si="32"/>
        <v>0.82516</v>
      </c>
      <c r="BG10" s="5">
        <f t="shared" si="33"/>
        <v>0.82516</v>
      </c>
      <c r="BH10" s="35">
        <f t="shared" si="34"/>
        <v>0.4181512</v>
      </c>
      <c r="BI10" s="35">
        <f t="shared" si="35"/>
        <v>0.0043448</v>
      </c>
      <c r="BL10" s="5">
        <f t="shared" si="36"/>
        <v>2678.985085</v>
      </c>
      <c r="BM10" s="35">
        <f t="shared" si="37"/>
        <v>2678.985085</v>
      </c>
      <c r="BN10" s="35">
        <f t="shared" si="38"/>
        <v>1357.5801397</v>
      </c>
      <c r="BO10" s="35">
        <f t="shared" si="39"/>
        <v>14.1059363</v>
      </c>
      <c r="BR10" s="5">
        <f t="shared" si="40"/>
        <v>4931.2593050000005</v>
      </c>
      <c r="BS10" s="5">
        <f t="shared" si="41"/>
        <v>4931.2593050000005</v>
      </c>
      <c r="BT10" s="35">
        <f t="shared" si="42"/>
        <v>2498.9238401000002</v>
      </c>
      <c r="BU10" s="35">
        <f t="shared" si="43"/>
        <v>25.9650679</v>
      </c>
      <c r="BX10" s="5">
        <f t="shared" si="44"/>
        <v>12835.77638</v>
      </c>
      <c r="BY10" s="5">
        <f t="shared" si="45"/>
        <v>12835.77638</v>
      </c>
      <c r="BZ10" s="35">
        <f t="shared" si="46"/>
        <v>6504.5509916</v>
      </c>
      <c r="CA10" s="35">
        <f t="shared" si="47"/>
        <v>67.5855364</v>
      </c>
      <c r="CD10" s="5">
        <f t="shared" si="48"/>
        <v>1305.7125549999998</v>
      </c>
      <c r="CE10" s="5">
        <f t="shared" si="49"/>
        <v>1305.7125549999998</v>
      </c>
      <c r="CF10" s="35">
        <f t="shared" si="50"/>
        <v>661.6720051</v>
      </c>
      <c r="CG10" s="35">
        <f t="shared" si="51"/>
        <v>6.8751029</v>
      </c>
      <c r="CJ10" s="5">
        <f t="shared" si="52"/>
        <v>163.17539</v>
      </c>
      <c r="CK10" s="5">
        <f t="shared" si="53"/>
        <v>163.17539</v>
      </c>
      <c r="CL10" s="35">
        <f t="shared" si="54"/>
        <v>82.6893998</v>
      </c>
      <c r="CM10" s="35">
        <f t="shared" si="55"/>
        <v>0.8591842</v>
      </c>
      <c r="CP10" s="5">
        <f t="shared" si="56"/>
        <v>147.394205</v>
      </c>
      <c r="CQ10" s="5">
        <f t="shared" si="57"/>
        <v>147.394205</v>
      </c>
      <c r="CR10" s="35">
        <f t="shared" si="58"/>
        <v>74.6922581</v>
      </c>
      <c r="CS10" s="35">
        <f t="shared" si="59"/>
        <v>0.7760899</v>
      </c>
      <c r="CV10" s="5">
        <f t="shared" si="60"/>
        <v>3664.844995</v>
      </c>
      <c r="CW10" s="5">
        <f t="shared" si="61"/>
        <v>3664.844995</v>
      </c>
      <c r="CX10" s="35">
        <f t="shared" si="62"/>
        <v>1857.1662859</v>
      </c>
      <c r="CY10" s="35">
        <f t="shared" si="63"/>
        <v>19.296886100000002</v>
      </c>
      <c r="DB10" s="5">
        <f t="shared" si="64"/>
        <v>284.47391</v>
      </c>
      <c r="DC10" s="5">
        <f t="shared" si="65"/>
        <v>284.47391</v>
      </c>
      <c r="DD10" s="35">
        <f t="shared" si="66"/>
        <v>144.15762619999998</v>
      </c>
      <c r="DE10" s="35">
        <f t="shared" si="67"/>
        <v>1.4978698</v>
      </c>
      <c r="DH10" s="5">
        <f t="shared" si="68"/>
        <v>2250.108175</v>
      </c>
      <c r="DI10" s="35">
        <f t="shared" si="69"/>
        <v>2250.108175</v>
      </c>
      <c r="DJ10" s="35">
        <f t="shared" si="70"/>
        <v>1140.2460535</v>
      </c>
      <c r="DK10" s="35">
        <f t="shared" si="71"/>
        <v>11.847726499999998</v>
      </c>
      <c r="DN10" s="5">
        <f t="shared" si="72"/>
        <v>11618.355945000001</v>
      </c>
      <c r="DO10" s="5">
        <f t="shared" si="73"/>
        <v>11618.355945000001</v>
      </c>
      <c r="DP10" s="35">
        <f t="shared" si="74"/>
        <v>5887.621164900001</v>
      </c>
      <c r="DQ10" s="35">
        <f t="shared" si="75"/>
        <v>61.175327100000004</v>
      </c>
      <c r="DT10" s="5">
        <f t="shared" si="76"/>
        <v>921.806865</v>
      </c>
      <c r="DU10" s="5">
        <f t="shared" si="77"/>
        <v>921.806865</v>
      </c>
      <c r="DV10" s="35">
        <f t="shared" si="78"/>
        <v>467.1271593</v>
      </c>
      <c r="DW10" s="35">
        <f t="shared" si="79"/>
        <v>4.8536847</v>
      </c>
      <c r="DZ10" s="5">
        <f t="shared" si="80"/>
        <v>2502.71028</v>
      </c>
      <c r="EA10" s="5">
        <f t="shared" si="81"/>
        <v>2502.71028</v>
      </c>
      <c r="EB10" s="35">
        <f t="shared" si="82"/>
        <v>1268.2525896</v>
      </c>
      <c r="EC10" s="35">
        <f t="shared" si="83"/>
        <v>13.1777784</v>
      </c>
      <c r="EF10" s="5">
        <f t="shared" si="84"/>
        <v>2806.36916</v>
      </c>
      <c r="EG10" s="35">
        <f t="shared" si="85"/>
        <v>2806.36916</v>
      </c>
      <c r="EH10" s="35">
        <f t="shared" si="86"/>
        <v>1422.1322312000002</v>
      </c>
      <c r="EI10" s="35">
        <f t="shared" si="87"/>
        <v>14.7766648</v>
      </c>
      <c r="EL10" s="5">
        <f t="shared" si="88"/>
        <v>7071.105474999999</v>
      </c>
      <c r="EM10" s="35">
        <f t="shared" si="89"/>
        <v>7071.105474999999</v>
      </c>
      <c r="EN10" s="35">
        <f t="shared" si="90"/>
        <v>3583.2944395</v>
      </c>
      <c r="EO10" s="35">
        <f t="shared" si="91"/>
        <v>37.2322205</v>
      </c>
      <c r="ER10" s="5">
        <f t="shared" si="92"/>
        <v>10863.953415</v>
      </c>
      <c r="ES10" s="35">
        <f t="shared" si="93"/>
        <v>10863.953415</v>
      </c>
      <c r="ET10" s="35">
        <f t="shared" si="94"/>
        <v>5505.3264303000005</v>
      </c>
      <c r="EU10" s="35">
        <f t="shared" si="95"/>
        <v>57.203093700000004</v>
      </c>
      <c r="EX10" s="5">
        <f t="shared" si="96"/>
        <v>51500.195354999996</v>
      </c>
      <c r="EY10" s="5">
        <f t="shared" si="97"/>
        <v>51500.195354999996</v>
      </c>
      <c r="EZ10" s="35">
        <f t="shared" si="98"/>
        <v>26097.8095011</v>
      </c>
      <c r="FA10" s="35">
        <f t="shared" si="99"/>
        <v>271.1692869</v>
      </c>
      <c r="FD10" s="5">
        <f t="shared" si="100"/>
        <v>43562.878169999996</v>
      </c>
      <c r="FE10" s="5">
        <f t="shared" si="101"/>
        <v>43562.878169999996</v>
      </c>
      <c r="FF10" s="35">
        <f t="shared" si="102"/>
        <v>22075.560839399997</v>
      </c>
      <c r="FG10" s="35">
        <f t="shared" si="103"/>
        <v>229.37611259999997</v>
      </c>
      <c r="FJ10" s="5">
        <f t="shared" si="104"/>
        <v>273.33425</v>
      </c>
      <c r="FK10" s="5">
        <f t="shared" si="105"/>
        <v>273.33425</v>
      </c>
      <c r="FL10" s="35">
        <f t="shared" si="106"/>
        <v>138.512585</v>
      </c>
      <c r="FM10" s="35">
        <f t="shared" si="107"/>
        <v>1.439215</v>
      </c>
      <c r="FP10" s="5">
        <f t="shared" si="108"/>
        <v>769.771135</v>
      </c>
      <c r="FQ10" s="5">
        <f t="shared" si="109"/>
        <v>769.771135</v>
      </c>
      <c r="FR10" s="35">
        <f t="shared" si="110"/>
        <v>390.0828007</v>
      </c>
      <c r="FS10" s="35">
        <f t="shared" si="111"/>
        <v>4.0531553</v>
      </c>
    </row>
    <row r="11" spans="1:175" ht="12.75">
      <c r="A11" s="36">
        <v>45383</v>
      </c>
      <c r="C11" s="77">
        <f>'2019C'!C11</f>
        <v>5450000</v>
      </c>
      <c r="D11" s="77">
        <f>'2019C'!D11</f>
        <v>1031450</v>
      </c>
      <c r="E11" s="34">
        <f t="shared" si="0"/>
        <v>6481450</v>
      </c>
      <c r="F11" s="77">
        <f>'2019C'!F11</f>
        <v>522689</v>
      </c>
      <c r="G11" s="77">
        <f>'2019C'!G11</f>
        <v>5431</v>
      </c>
      <c r="I11" s="46">
        <f>O11+U11+AG11+AM11+AS11+AA11+AY11+BE11+BK11+BQ11+BW11+CC11+CI11+CO11+CU11+DA11+DG11+DM11+DS11+DY11+EE11+EK11+EQ11+EW11+FC11+FI11+FO11</f>
        <v>1216608.95</v>
      </c>
      <c r="J11" s="35">
        <f t="shared" si="1"/>
        <v>230251.61495000002</v>
      </c>
      <c r="K11" s="35">
        <f t="shared" si="2"/>
        <v>1446860.56495</v>
      </c>
      <c r="L11" s="35">
        <f t="shared" si="3"/>
        <v>116680.38815900001</v>
      </c>
      <c r="M11" s="35">
        <f t="shared" si="3"/>
        <v>1212.3675610000003</v>
      </c>
      <c r="O11" s="5">
        <f t="shared" si="112"/>
        <v>255069.265</v>
      </c>
      <c r="P11" s="5">
        <f t="shared" si="4"/>
        <v>48273.613465</v>
      </c>
      <c r="Q11" s="5">
        <f t="shared" si="5"/>
        <v>303342.878465</v>
      </c>
      <c r="R11" s="35">
        <f t="shared" si="6"/>
        <v>24462.7337713</v>
      </c>
      <c r="S11" s="35">
        <f t="shared" si="7"/>
        <v>254.1800327</v>
      </c>
      <c r="U11" s="5">
        <f t="shared" si="113"/>
        <v>35499.665</v>
      </c>
      <c r="V11" s="5">
        <f t="shared" si="8"/>
        <v>6718.555865</v>
      </c>
      <c r="W11" s="35">
        <f t="shared" si="9"/>
        <v>42218.220865</v>
      </c>
      <c r="X11" s="35">
        <f t="shared" si="10"/>
        <v>3404.6393393</v>
      </c>
      <c r="Y11" s="35">
        <f t="shared" si="11"/>
        <v>35.3759047</v>
      </c>
      <c r="Z11" s="35"/>
      <c r="AA11" s="5">
        <f t="shared" si="114"/>
        <v>5101.2</v>
      </c>
      <c r="AB11" s="5">
        <f t="shared" si="12"/>
        <v>965.4372</v>
      </c>
      <c r="AC11" s="5">
        <f t="shared" si="13"/>
        <v>6066.6372</v>
      </c>
      <c r="AD11" s="35">
        <f t="shared" si="14"/>
        <v>489.236904</v>
      </c>
      <c r="AE11" s="35">
        <f t="shared" si="15"/>
        <v>5.083416</v>
      </c>
      <c r="AG11" s="5">
        <f t="shared" si="115"/>
        <v>30019.145</v>
      </c>
      <c r="AH11" s="5">
        <f t="shared" si="16"/>
        <v>5681.329745</v>
      </c>
      <c r="AI11" s="5">
        <f t="shared" si="17"/>
        <v>35700.474745</v>
      </c>
      <c r="AJ11" s="35">
        <f t="shared" si="18"/>
        <v>2879.0232809</v>
      </c>
      <c r="AK11" s="35">
        <f t="shared" si="19"/>
        <v>29.9144911</v>
      </c>
      <c r="AM11" s="5">
        <f t="shared" si="116"/>
        <v>13337.785</v>
      </c>
      <c r="AN11" s="5">
        <f t="shared" si="20"/>
        <v>2524.267585</v>
      </c>
      <c r="AO11" s="5">
        <f t="shared" si="21"/>
        <v>15862.052585</v>
      </c>
      <c r="AP11" s="35">
        <f t="shared" si="22"/>
        <v>1279.1767897</v>
      </c>
      <c r="AQ11" s="35">
        <f t="shared" si="23"/>
        <v>13.2912863</v>
      </c>
      <c r="AS11" s="5">
        <f t="shared" si="117"/>
        <v>8479.655</v>
      </c>
      <c r="AT11" s="5">
        <f t="shared" si="24"/>
        <v>1604.833055</v>
      </c>
      <c r="AU11" s="5">
        <f t="shared" si="25"/>
        <v>10084.488055000002</v>
      </c>
      <c r="AV11" s="35">
        <f t="shared" si="26"/>
        <v>813.2518151</v>
      </c>
      <c r="AW11" s="35">
        <f t="shared" si="27"/>
        <v>8.4500929</v>
      </c>
      <c r="AY11" s="5">
        <f t="shared" si="118"/>
        <v>22881.825</v>
      </c>
      <c r="AZ11" s="5">
        <f t="shared" si="28"/>
        <v>4330.5428249999995</v>
      </c>
      <c r="BA11" s="5">
        <f t="shared" si="29"/>
        <v>27212.367825</v>
      </c>
      <c r="BB11" s="35">
        <f t="shared" si="30"/>
        <v>2194.5097665</v>
      </c>
      <c r="BC11" s="35">
        <f t="shared" si="31"/>
        <v>22.8020535</v>
      </c>
      <c r="BE11" s="5">
        <f t="shared" si="119"/>
        <v>4.359999999999999</v>
      </c>
      <c r="BF11" s="5">
        <f t="shared" si="32"/>
        <v>0.82516</v>
      </c>
      <c r="BG11" s="5">
        <f t="shared" si="33"/>
        <v>5.18516</v>
      </c>
      <c r="BH11" s="35">
        <f t="shared" si="34"/>
        <v>0.4181512</v>
      </c>
      <c r="BI11" s="35">
        <f t="shared" si="35"/>
        <v>0.0043448</v>
      </c>
      <c r="BK11" s="5">
        <f t="shared" si="120"/>
        <v>14155.285</v>
      </c>
      <c r="BL11" s="5">
        <f t="shared" si="36"/>
        <v>2678.985085</v>
      </c>
      <c r="BM11" s="35">
        <f t="shared" si="37"/>
        <v>16834.270085</v>
      </c>
      <c r="BN11" s="35">
        <f t="shared" si="38"/>
        <v>1357.5801397</v>
      </c>
      <c r="BO11" s="35">
        <f t="shared" si="39"/>
        <v>14.1059363</v>
      </c>
      <c r="BQ11" s="5">
        <f t="shared" si="121"/>
        <v>26055.905000000002</v>
      </c>
      <c r="BR11" s="5">
        <f t="shared" si="40"/>
        <v>4931.2593050000005</v>
      </c>
      <c r="BS11" s="5">
        <f t="shared" si="41"/>
        <v>30987.164305000002</v>
      </c>
      <c r="BT11" s="35">
        <f t="shared" si="42"/>
        <v>2498.9238401000002</v>
      </c>
      <c r="BU11" s="35">
        <f t="shared" si="43"/>
        <v>25.9650679</v>
      </c>
      <c r="BW11" s="5">
        <f t="shared" si="122"/>
        <v>67821.98</v>
      </c>
      <c r="BX11" s="5">
        <f t="shared" si="44"/>
        <v>12835.77638</v>
      </c>
      <c r="BY11" s="5">
        <f t="shared" si="45"/>
        <v>80657.75637999999</v>
      </c>
      <c r="BZ11" s="35">
        <f t="shared" si="46"/>
        <v>6504.5509916</v>
      </c>
      <c r="CA11" s="35">
        <f t="shared" si="47"/>
        <v>67.5855364</v>
      </c>
      <c r="CC11" s="5">
        <f t="shared" si="123"/>
        <v>6899.155</v>
      </c>
      <c r="CD11" s="5">
        <f t="shared" si="48"/>
        <v>1305.7125549999998</v>
      </c>
      <c r="CE11" s="5">
        <f t="shared" si="49"/>
        <v>8204.867554999999</v>
      </c>
      <c r="CF11" s="35">
        <f t="shared" si="50"/>
        <v>661.6720051</v>
      </c>
      <c r="CG11" s="35">
        <f t="shared" si="51"/>
        <v>6.8751029</v>
      </c>
      <c r="CI11" s="5">
        <f t="shared" si="124"/>
        <v>862.1899999999999</v>
      </c>
      <c r="CJ11" s="5">
        <f t="shared" si="52"/>
        <v>163.17539</v>
      </c>
      <c r="CK11" s="5">
        <f t="shared" si="53"/>
        <v>1025.36539</v>
      </c>
      <c r="CL11" s="35">
        <f t="shared" si="54"/>
        <v>82.6893998</v>
      </c>
      <c r="CM11" s="35">
        <f t="shared" si="55"/>
        <v>0.8591842</v>
      </c>
      <c r="CO11" s="5">
        <f t="shared" si="125"/>
        <v>778.8050000000001</v>
      </c>
      <c r="CP11" s="5">
        <f t="shared" si="56"/>
        <v>147.394205</v>
      </c>
      <c r="CQ11" s="5">
        <f t="shared" si="57"/>
        <v>926.1992050000001</v>
      </c>
      <c r="CR11" s="35">
        <f t="shared" si="58"/>
        <v>74.6922581</v>
      </c>
      <c r="CS11" s="35">
        <f t="shared" si="59"/>
        <v>0.7760899</v>
      </c>
      <c r="CU11" s="5">
        <f t="shared" si="126"/>
        <v>19364.395</v>
      </c>
      <c r="CV11" s="5">
        <f t="shared" si="60"/>
        <v>3664.844995</v>
      </c>
      <c r="CW11" s="5">
        <f t="shared" si="61"/>
        <v>23029.239995</v>
      </c>
      <c r="CX11" s="35">
        <f t="shared" si="62"/>
        <v>1857.1662859</v>
      </c>
      <c r="CY11" s="35">
        <f t="shared" si="63"/>
        <v>19.296886100000002</v>
      </c>
      <c r="DA11" s="5">
        <f t="shared" si="127"/>
        <v>1503.11</v>
      </c>
      <c r="DB11" s="5">
        <f t="shared" si="64"/>
        <v>284.47391</v>
      </c>
      <c r="DC11" s="5">
        <f t="shared" si="65"/>
        <v>1787.5839099999998</v>
      </c>
      <c r="DD11" s="35">
        <f t="shared" si="66"/>
        <v>144.15762619999998</v>
      </c>
      <c r="DE11" s="35">
        <f t="shared" si="67"/>
        <v>1.4978698</v>
      </c>
      <c r="DG11" s="5">
        <f t="shared" si="128"/>
        <v>11889.175</v>
      </c>
      <c r="DH11" s="5">
        <f t="shared" si="68"/>
        <v>2250.108175</v>
      </c>
      <c r="DI11" s="35">
        <f t="shared" si="69"/>
        <v>14139.283174999999</v>
      </c>
      <c r="DJ11" s="35">
        <f t="shared" si="70"/>
        <v>1140.2460535</v>
      </c>
      <c r="DK11" s="35">
        <f t="shared" si="71"/>
        <v>11.847726499999998</v>
      </c>
      <c r="DM11" s="5">
        <f t="shared" si="129"/>
        <v>61389.345</v>
      </c>
      <c r="DN11" s="5">
        <f t="shared" si="72"/>
        <v>11618.355945000001</v>
      </c>
      <c r="DO11" s="5">
        <f t="shared" si="73"/>
        <v>73007.700945</v>
      </c>
      <c r="DP11" s="35">
        <f t="shared" si="74"/>
        <v>5887.621164900001</v>
      </c>
      <c r="DQ11" s="35">
        <f t="shared" si="75"/>
        <v>61.175327100000004</v>
      </c>
      <c r="DS11" s="5">
        <f t="shared" si="130"/>
        <v>4870.665</v>
      </c>
      <c r="DT11" s="5">
        <f t="shared" si="76"/>
        <v>921.806865</v>
      </c>
      <c r="DU11" s="5">
        <f t="shared" si="77"/>
        <v>5792.4718649999995</v>
      </c>
      <c r="DV11" s="35">
        <f t="shared" si="78"/>
        <v>467.1271593</v>
      </c>
      <c r="DW11" s="35">
        <f t="shared" si="79"/>
        <v>4.8536847</v>
      </c>
      <c r="DY11" s="5">
        <f t="shared" si="131"/>
        <v>13223.88</v>
      </c>
      <c r="DZ11" s="5">
        <f t="shared" si="80"/>
        <v>2502.71028</v>
      </c>
      <c r="EA11" s="5">
        <f t="shared" si="81"/>
        <v>15726.590279999999</v>
      </c>
      <c r="EB11" s="35">
        <f t="shared" si="82"/>
        <v>1268.2525896</v>
      </c>
      <c r="EC11" s="35">
        <f t="shared" si="83"/>
        <v>13.1777784</v>
      </c>
      <c r="EE11" s="5">
        <f t="shared" si="132"/>
        <v>14828.36</v>
      </c>
      <c r="EF11" s="5">
        <f t="shared" si="84"/>
        <v>2806.36916</v>
      </c>
      <c r="EG11" s="35">
        <f t="shared" si="85"/>
        <v>17634.729160000003</v>
      </c>
      <c r="EH11" s="35">
        <f t="shared" si="86"/>
        <v>1422.1322312000002</v>
      </c>
      <c r="EI11" s="35">
        <f t="shared" si="87"/>
        <v>14.7766648</v>
      </c>
      <c r="EK11" s="5">
        <f t="shared" si="133"/>
        <v>37362.475</v>
      </c>
      <c r="EL11" s="5">
        <f t="shared" si="88"/>
        <v>7071.105474999999</v>
      </c>
      <c r="EM11" s="35">
        <f t="shared" si="89"/>
        <v>44433.580474999995</v>
      </c>
      <c r="EN11" s="35">
        <f t="shared" si="90"/>
        <v>3583.2944395</v>
      </c>
      <c r="EO11" s="35">
        <f t="shared" si="91"/>
        <v>37.2322205</v>
      </c>
      <c r="EQ11" s="5">
        <f t="shared" si="134"/>
        <v>57403.215000000004</v>
      </c>
      <c r="ER11" s="5">
        <f t="shared" si="92"/>
        <v>10863.953415</v>
      </c>
      <c r="ES11" s="35">
        <f t="shared" si="93"/>
        <v>68267.16841500001</v>
      </c>
      <c r="ET11" s="35">
        <f t="shared" si="94"/>
        <v>5505.3264303000005</v>
      </c>
      <c r="EU11" s="35">
        <f t="shared" si="95"/>
        <v>57.203093700000004</v>
      </c>
      <c r="EW11" s="5">
        <f t="shared" si="135"/>
        <v>272117.955</v>
      </c>
      <c r="EX11" s="5">
        <f t="shared" si="96"/>
        <v>51500.195354999996</v>
      </c>
      <c r="EY11" s="5">
        <f t="shared" si="97"/>
        <v>323618.150355</v>
      </c>
      <c r="EZ11" s="35">
        <f t="shared" si="98"/>
        <v>26097.8095011</v>
      </c>
      <c r="FA11" s="35">
        <f t="shared" si="99"/>
        <v>271.1692869</v>
      </c>
      <c r="FC11" s="5">
        <f t="shared" si="136"/>
        <v>230178.56999999998</v>
      </c>
      <c r="FD11" s="5">
        <f t="shared" si="100"/>
        <v>43562.878169999996</v>
      </c>
      <c r="FE11" s="5">
        <f t="shared" si="101"/>
        <v>273741.44817</v>
      </c>
      <c r="FF11" s="35">
        <f t="shared" si="102"/>
        <v>22075.560839399997</v>
      </c>
      <c r="FG11" s="35">
        <f t="shared" si="103"/>
        <v>229.37611259999997</v>
      </c>
      <c r="FI11" s="5">
        <f t="shared" si="137"/>
        <v>1444.25</v>
      </c>
      <c r="FJ11" s="5">
        <f t="shared" si="104"/>
        <v>273.33425</v>
      </c>
      <c r="FK11" s="5">
        <f t="shared" si="105"/>
        <v>1717.5842499999999</v>
      </c>
      <c r="FL11" s="35">
        <f t="shared" si="106"/>
        <v>138.512585</v>
      </c>
      <c r="FM11" s="35">
        <f t="shared" si="107"/>
        <v>1.439215</v>
      </c>
      <c r="FO11" s="5">
        <f t="shared" si="138"/>
        <v>4067.335</v>
      </c>
      <c r="FP11" s="5">
        <f t="shared" si="108"/>
        <v>769.771135</v>
      </c>
      <c r="FQ11" s="5">
        <f t="shared" si="109"/>
        <v>4837.106135</v>
      </c>
      <c r="FR11" s="35">
        <f t="shared" si="110"/>
        <v>390.0828007</v>
      </c>
      <c r="FS11" s="35">
        <f t="shared" si="111"/>
        <v>4.0531553</v>
      </c>
    </row>
    <row r="12" spans="1:175" ht="12.75">
      <c r="A12" s="36">
        <v>45566</v>
      </c>
      <c r="C12" s="77">
        <f>'2019C'!C12</f>
        <v>0</v>
      </c>
      <c r="D12" s="77">
        <f>'2019C'!D12</f>
        <v>922450</v>
      </c>
      <c r="E12" s="34">
        <f t="shared" si="0"/>
        <v>922450</v>
      </c>
      <c r="F12" s="77">
        <f>'2019C'!F12</f>
        <v>522689</v>
      </c>
      <c r="G12" s="77">
        <f>'2019C'!G12</f>
        <v>5431</v>
      </c>
      <c r="I12" s="46"/>
      <c r="J12" s="35">
        <f t="shared" si="1"/>
        <v>205919.43594999998</v>
      </c>
      <c r="K12" s="35">
        <f t="shared" si="2"/>
        <v>205919.43594999998</v>
      </c>
      <c r="L12" s="35">
        <f t="shared" si="3"/>
        <v>116680.38815900001</v>
      </c>
      <c r="M12" s="35">
        <f t="shared" si="3"/>
        <v>1212.3675610000003</v>
      </c>
      <c r="N12"/>
      <c r="P12" s="5">
        <f t="shared" si="4"/>
        <v>43172.228165</v>
      </c>
      <c r="Q12" s="5">
        <f t="shared" si="5"/>
        <v>43172.228165</v>
      </c>
      <c r="R12" s="35">
        <f t="shared" si="6"/>
        <v>24462.7337713</v>
      </c>
      <c r="S12" s="35">
        <f t="shared" si="7"/>
        <v>254.1800327</v>
      </c>
      <c r="T12"/>
      <c r="V12" s="5">
        <f t="shared" si="8"/>
        <v>6008.562565</v>
      </c>
      <c r="W12" s="35">
        <f t="shared" si="9"/>
        <v>6008.562565</v>
      </c>
      <c r="X12" s="35">
        <f t="shared" si="10"/>
        <v>3404.6393393</v>
      </c>
      <c r="Y12" s="35">
        <f t="shared" si="11"/>
        <v>35.3759047</v>
      </c>
      <c r="Z12" s="35"/>
      <c r="AB12" s="5">
        <f t="shared" si="12"/>
        <v>863.4132</v>
      </c>
      <c r="AC12" s="5">
        <f t="shared" si="13"/>
        <v>863.4132</v>
      </c>
      <c r="AD12" s="35">
        <f t="shared" si="14"/>
        <v>489.236904</v>
      </c>
      <c r="AE12" s="35">
        <f t="shared" si="15"/>
        <v>5.083416</v>
      </c>
      <c r="AF12"/>
      <c r="AH12" s="5">
        <f t="shared" si="16"/>
        <v>5080.946845</v>
      </c>
      <c r="AI12" s="5">
        <f t="shared" si="17"/>
        <v>5080.946845</v>
      </c>
      <c r="AJ12" s="35">
        <f t="shared" si="18"/>
        <v>2879.0232809</v>
      </c>
      <c r="AK12" s="35">
        <f t="shared" si="19"/>
        <v>29.9144911</v>
      </c>
      <c r="AL12"/>
      <c r="AN12" s="5">
        <f t="shared" si="20"/>
        <v>2257.511885</v>
      </c>
      <c r="AO12" s="5">
        <f t="shared" si="21"/>
        <v>2257.511885</v>
      </c>
      <c r="AP12" s="35">
        <f t="shared" si="22"/>
        <v>1279.1767897</v>
      </c>
      <c r="AQ12" s="35">
        <f t="shared" si="23"/>
        <v>13.2912863</v>
      </c>
      <c r="AR12"/>
      <c r="AT12" s="5">
        <f t="shared" si="24"/>
        <v>1435.239955</v>
      </c>
      <c r="AU12" s="5">
        <f t="shared" si="25"/>
        <v>1435.239955</v>
      </c>
      <c r="AV12" s="35">
        <f t="shared" si="26"/>
        <v>813.2518151</v>
      </c>
      <c r="AW12" s="35">
        <f t="shared" si="27"/>
        <v>8.4500929</v>
      </c>
      <c r="AX12"/>
      <c r="AZ12" s="5">
        <f t="shared" si="28"/>
        <v>3872.906325</v>
      </c>
      <c r="BA12" s="5">
        <f t="shared" si="29"/>
        <v>3872.906325</v>
      </c>
      <c r="BB12" s="35">
        <f t="shared" si="30"/>
        <v>2194.5097665</v>
      </c>
      <c r="BC12" s="35">
        <f t="shared" si="31"/>
        <v>22.8020535</v>
      </c>
      <c r="BD12"/>
      <c r="BF12" s="5">
        <f t="shared" si="32"/>
        <v>0.73796</v>
      </c>
      <c r="BG12" s="5">
        <f t="shared" si="33"/>
        <v>0.73796</v>
      </c>
      <c r="BH12" s="35">
        <f t="shared" si="34"/>
        <v>0.4181512</v>
      </c>
      <c r="BI12" s="35">
        <f t="shared" si="35"/>
        <v>0.0043448</v>
      </c>
      <c r="BJ12"/>
      <c r="BL12" s="5">
        <f t="shared" si="36"/>
        <v>2395.8793849999997</v>
      </c>
      <c r="BM12" s="35">
        <f t="shared" si="37"/>
        <v>2395.8793849999997</v>
      </c>
      <c r="BN12" s="35">
        <f t="shared" si="38"/>
        <v>1357.5801397</v>
      </c>
      <c r="BO12" s="35">
        <f t="shared" si="39"/>
        <v>14.1059363</v>
      </c>
      <c r="BP12"/>
      <c r="BR12" s="5">
        <f t="shared" si="40"/>
        <v>4410.141205</v>
      </c>
      <c r="BS12" s="5">
        <f t="shared" si="41"/>
        <v>4410.141205</v>
      </c>
      <c r="BT12" s="35">
        <f t="shared" si="42"/>
        <v>2498.9238401000002</v>
      </c>
      <c r="BU12" s="35">
        <f t="shared" si="43"/>
        <v>25.9650679</v>
      </c>
      <c r="BV12"/>
      <c r="BX12" s="5">
        <f t="shared" si="44"/>
        <v>11479.33678</v>
      </c>
      <c r="BY12" s="5">
        <f t="shared" si="45"/>
        <v>11479.33678</v>
      </c>
      <c r="BZ12" s="35">
        <f t="shared" si="46"/>
        <v>6504.5509916</v>
      </c>
      <c r="CA12" s="35">
        <f t="shared" si="47"/>
        <v>67.5855364</v>
      </c>
      <c r="CB12"/>
      <c r="CD12" s="5">
        <f t="shared" si="48"/>
        <v>1167.729455</v>
      </c>
      <c r="CE12" s="5">
        <f t="shared" si="49"/>
        <v>1167.729455</v>
      </c>
      <c r="CF12" s="35">
        <f t="shared" si="50"/>
        <v>661.6720051</v>
      </c>
      <c r="CG12" s="35">
        <f t="shared" si="51"/>
        <v>6.8751029</v>
      </c>
      <c r="CH12"/>
      <c r="CJ12" s="5">
        <f t="shared" si="52"/>
        <v>145.93159</v>
      </c>
      <c r="CK12" s="5">
        <f t="shared" si="53"/>
        <v>145.93159</v>
      </c>
      <c r="CL12" s="35">
        <f t="shared" si="54"/>
        <v>82.6893998</v>
      </c>
      <c r="CM12" s="35">
        <f t="shared" si="55"/>
        <v>0.8591842</v>
      </c>
      <c r="CN12"/>
      <c r="CP12" s="5">
        <f t="shared" si="56"/>
        <v>131.818105</v>
      </c>
      <c r="CQ12" s="5">
        <f t="shared" si="57"/>
        <v>131.818105</v>
      </c>
      <c r="CR12" s="35">
        <f t="shared" si="58"/>
        <v>74.6922581</v>
      </c>
      <c r="CS12" s="35">
        <f t="shared" si="59"/>
        <v>0.7760899</v>
      </c>
      <c r="CT12"/>
      <c r="CV12" s="5">
        <f t="shared" si="60"/>
        <v>3277.557095</v>
      </c>
      <c r="CW12" s="5">
        <f t="shared" si="61"/>
        <v>3277.557095</v>
      </c>
      <c r="CX12" s="35">
        <f t="shared" si="62"/>
        <v>1857.1662859</v>
      </c>
      <c r="CY12" s="35">
        <f t="shared" si="63"/>
        <v>19.296886100000002</v>
      </c>
      <c r="CZ12"/>
      <c r="DB12" s="5">
        <f t="shared" si="64"/>
        <v>254.41170999999997</v>
      </c>
      <c r="DC12" s="5">
        <f t="shared" si="65"/>
        <v>254.41170999999997</v>
      </c>
      <c r="DD12" s="35">
        <f t="shared" si="66"/>
        <v>144.15762619999998</v>
      </c>
      <c r="DE12" s="35">
        <f t="shared" si="67"/>
        <v>1.4978698</v>
      </c>
      <c r="DF12"/>
      <c r="DH12" s="5">
        <f t="shared" si="68"/>
        <v>2012.3246749999998</v>
      </c>
      <c r="DI12" s="35">
        <f t="shared" si="69"/>
        <v>2012.3246749999998</v>
      </c>
      <c r="DJ12" s="35">
        <f t="shared" si="70"/>
        <v>1140.2460535</v>
      </c>
      <c r="DK12" s="35">
        <f t="shared" si="71"/>
        <v>11.847726499999998</v>
      </c>
      <c r="DN12" s="5">
        <f t="shared" si="72"/>
        <v>10390.569045</v>
      </c>
      <c r="DO12" s="5">
        <f t="shared" si="73"/>
        <v>10390.569045</v>
      </c>
      <c r="DP12" s="35">
        <f t="shared" si="74"/>
        <v>5887.621164900001</v>
      </c>
      <c r="DQ12" s="35">
        <f t="shared" si="75"/>
        <v>61.175327100000004</v>
      </c>
      <c r="DT12" s="5">
        <f t="shared" si="76"/>
        <v>824.393565</v>
      </c>
      <c r="DU12" s="5">
        <f t="shared" si="77"/>
        <v>824.393565</v>
      </c>
      <c r="DV12" s="35">
        <f t="shared" si="78"/>
        <v>467.1271593</v>
      </c>
      <c r="DW12" s="35">
        <f t="shared" si="79"/>
        <v>4.8536847</v>
      </c>
      <c r="DZ12" s="5">
        <f t="shared" si="80"/>
        <v>2238.23268</v>
      </c>
      <c r="EA12" s="5">
        <f t="shared" si="81"/>
        <v>2238.23268</v>
      </c>
      <c r="EB12" s="35">
        <f t="shared" si="82"/>
        <v>1268.2525896</v>
      </c>
      <c r="EC12" s="35">
        <f t="shared" si="83"/>
        <v>13.1777784</v>
      </c>
      <c r="EF12" s="5">
        <f t="shared" si="84"/>
        <v>2509.8019600000002</v>
      </c>
      <c r="EG12" s="35">
        <f t="shared" si="85"/>
        <v>2509.8019600000002</v>
      </c>
      <c r="EH12" s="35">
        <f t="shared" si="86"/>
        <v>1422.1322312000002</v>
      </c>
      <c r="EI12" s="35">
        <f t="shared" si="87"/>
        <v>14.7766648</v>
      </c>
      <c r="EL12" s="5">
        <f t="shared" si="88"/>
        <v>6323.8559749999995</v>
      </c>
      <c r="EM12" s="35">
        <f t="shared" si="89"/>
        <v>6323.8559749999995</v>
      </c>
      <c r="EN12" s="35">
        <f t="shared" si="90"/>
        <v>3583.2944395</v>
      </c>
      <c r="EO12" s="35">
        <f t="shared" si="91"/>
        <v>37.2322205</v>
      </c>
      <c r="ER12" s="5">
        <f t="shared" si="92"/>
        <v>9715.889115</v>
      </c>
      <c r="ES12" s="35">
        <f t="shared" si="93"/>
        <v>9715.889115</v>
      </c>
      <c r="ET12" s="35">
        <f t="shared" si="94"/>
        <v>5505.3264303000005</v>
      </c>
      <c r="EU12" s="35">
        <f t="shared" si="95"/>
        <v>57.203093700000004</v>
      </c>
      <c r="EX12" s="5">
        <f t="shared" si="96"/>
        <v>46057.836255</v>
      </c>
      <c r="EY12" s="5">
        <f t="shared" si="97"/>
        <v>46057.836255</v>
      </c>
      <c r="EZ12" s="35">
        <f t="shared" si="98"/>
        <v>26097.8095011</v>
      </c>
      <c r="FA12" s="35">
        <f t="shared" si="99"/>
        <v>271.1692869</v>
      </c>
      <c r="FD12" s="5">
        <f t="shared" si="100"/>
        <v>38959.306769999996</v>
      </c>
      <c r="FE12" s="5">
        <f t="shared" si="101"/>
        <v>38959.306769999996</v>
      </c>
      <c r="FF12" s="35">
        <f t="shared" si="102"/>
        <v>22075.560839399997</v>
      </c>
      <c r="FG12" s="35">
        <f t="shared" si="103"/>
        <v>229.37611259999997</v>
      </c>
      <c r="FJ12" s="5">
        <f t="shared" si="104"/>
        <v>244.44924999999998</v>
      </c>
      <c r="FK12" s="5">
        <f t="shared" si="105"/>
        <v>244.44924999999998</v>
      </c>
      <c r="FL12" s="35">
        <f t="shared" si="106"/>
        <v>138.512585</v>
      </c>
      <c r="FM12" s="35">
        <f t="shared" si="107"/>
        <v>1.439215</v>
      </c>
      <c r="FP12" s="5">
        <f t="shared" si="108"/>
        <v>688.424435</v>
      </c>
      <c r="FQ12" s="5">
        <f t="shared" si="109"/>
        <v>688.424435</v>
      </c>
      <c r="FR12" s="35">
        <f t="shared" si="110"/>
        <v>390.0828007</v>
      </c>
      <c r="FS12" s="35">
        <f t="shared" si="111"/>
        <v>4.0531553</v>
      </c>
    </row>
    <row r="13" spans="1:175" ht="12.75">
      <c r="A13" s="36">
        <v>45748</v>
      </c>
      <c r="C13" s="77">
        <f>'2019C'!C13</f>
        <v>5660000</v>
      </c>
      <c r="D13" s="77">
        <f>'2019C'!D13</f>
        <v>922450</v>
      </c>
      <c r="E13" s="34">
        <f t="shared" si="0"/>
        <v>6582450</v>
      </c>
      <c r="F13" s="77">
        <f>'2019C'!F13</f>
        <v>522689</v>
      </c>
      <c r="G13" s="77">
        <f>'2019C'!G13</f>
        <v>5431</v>
      </c>
      <c r="I13" s="46">
        <f>O13+U13+AG13+AM13+AS13+AA13+AY13+BE13+BK13+BQ13+BW13+CC13+CI13+CO13+CU13+DA13+DG13+DM13+DS13+DY13+EE13+EK13+EQ13+EW13+FC13+FI13+FO13</f>
        <v>1263487.46</v>
      </c>
      <c r="J13" s="35">
        <f t="shared" si="1"/>
        <v>205919.43594999998</v>
      </c>
      <c r="K13" s="35">
        <f t="shared" si="2"/>
        <v>1469406.89595</v>
      </c>
      <c r="L13" s="35">
        <f t="shared" si="3"/>
        <v>116680.38815900001</v>
      </c>
      <c r="M13" s="35">
        <f t="shared" si="3"/>
        <v>1212.3675610000003</v>
      </c>
      <c r="N13"/>
      <c r="O13" s="5">
        <f t="shared" si="112"/>
        <v>264897.62200000003</v>
      </c>
      <c r="P13" s="5">
        <f t="shared" si="4"/>
        <v>43172.228165</v>
      </c>
      <c r="Q13" s="5">
        <f t="shared" si="5"/>
        <v>308069.850165</v>
      </c>
      <c r="R13" s="35">
        <f t="shared" si="6"/>
        <v>24462.7337713</v>
      </c>
      <c r="S13" s="35">
        <f t="shared" si="7"/>
        <v>254.1800327</v>
      </c>
      <c r="T13"/>
      <c r="U13" s="5">
        <f t="shared" si="113"/>
        <v>36867.542</v>
      </c>
      <c r="V13" s="5">
        <f t="shared" si="8"/>
        <v>6008.562565</v>
      </c>
      <c r="W13" s="35">
        <f t="shared" si="9"/>
        <v>42876.104565</v>
      </c>
      <c r="X13" s="35">
        <f t="shared" si="10"/>
        <v>3404.6393393</v>
      </c>
      <c r="Y13" s="35">
        <f t="shared" si="11"/>
        <v>35.3759047</v>
      </c>
      <c r="Z13" s="35"/>
      <c r="AA13" s="5">
        <f t="shared" si="114"/>
        <v>5297.76</v>
      </c>
      <c r="AB13" s="5">
        <f t="shared" si="12"/>
        <v>863.4132</v>
      </c>
      <c r="AC13" s="5">
        <f t="shared" si="13"/>
        <v>6161.1732</v>
      </c>
      <c r="AD13" s="35">
        <f t="shared" si="14"/>
        <v>489.236904</v>
      </c>
      <c r="AE13" s="35">
        <f t="shared" si="15"/>
        <v>5.083416</v>
      </c>
      <c r="AF13"/>
      <c r="AG13" s="5">
        <f t="shared" si="115"/>
        <v>31175.846</v>
      </c>
      <c r="AH13" s="5">
        <f t="shared" si="16"/>
        <v>5080.946845</v>
      </c>
      <c r="AI13" s="5">
        <f t="shared" si="17"/>
        <v>36256.792845</v>
      </c>
      <c r="AJ13" s="35">
        <f t="shared" si="18"/>
        <v>2879.0232809</v>
      </c>
      <c r="AK13" s="35">
        <f t="shared" si="19"/>
        <v>29.9144911</v>
      </c>
      <c r="AL13"/>
      <c r="AM13" s="5">
        <f t="shared" si="116"/>
        <v>13851.717999999999</v>
      </c>
      <c r="AN13" s="5">
        <f t="shared" si="20"/>
        <v>2257.511885</v>
      </c>
      <c r="AO13" s="5">
        <f t="shared" si="21"/>
        <v>16109.229884999999</v>
      </c>
      <c r="AP13" s="35">
        <f t="shared" si="22"/>
        <v>1279.1767897</v>
      </c>
      <c r="AQ13" s="35">
        <f t="shared" si="23"/>
        <v>13.2912863</v>
      </c>
      <c r="AR13"/>
      <c r="AS13" s="5">
        <f t="shared" si="117"/>
        <v>8806.394</v>
      </c>
      <c r="AT13" s="5">
        <f t="shared" si="24"/>
        <v>1435.239955</v>
      </c>
      <c r="AU13" s="5">
        <f t="shared" si="25"/>
        <v>10241.633955000001</v>
      </c>
      <c r="AV13" s="35">
        <f t="shared" si="26"/>
        <v>813.2518151</v>
      </c>
      <c r="AW13" s="35">
        <f t="shared" si="27"/>
        <v>8.4500929</v>
      </c>
      <c r="AX13"/>
      <c r="AY13" s="5">
        <f t="shared" si="118"/>
        <v>23763.51</v>
      </c>
      <c r="AZ13" s="5">
        <f t="shared" si="28"/>
        <v>3872.906325</v>
      </c>
      <c r="BA13" s="5">
        <f t="shared" si="29"/>
        <v>27636.416325</v>
      </c>
      <c r="BB13" s="35">
        <f t="shared" si="30"/>
        <v>2194.5097665</v>
      </c>
      <c r="BC13" s="35">
        <f t="shared" si="31"/>
        <v>22.8020535</v>
      </c>
      <c r="BD13"/>
      <c r="BE13" s="5">
        <f t="shared" si="119"/>
        <v>4.528</v>
      </c>
      <c r="BF13" s="5">
        <f t="shared" si="32"/>
        <v>0.73796</v>
      </c>
      <c r="BG13" s="5">
        <f t="shared" si="33"/>
        <v>5.26596</v>
      </c>
      <c r="BH13" s="35">
        <f t="shared" si="34"/>
        <v>0.4181512</v>
      </c>
      <c r="BI13" s="35">
        <f t="shared" si="35"/>
        <v>0.0043448</v>
      </c>
      <c r="BJ13"/>
      <c r="BK13" s="5">
        <f t="shared" si="120"/>
        <v>14700.717999999999</v>
      </c>
      <c r="BL13" s="5">
        <f t="shared" si="36"/>
        <v>2395.8793849999997</v>
      </c>
      <c r="BM13" s="35">
        <f t="shared" si="37"/>
        <v>17096.597384999997</v>
      </c>
      <c r="BN13" s="35">
        <f t="shared" si="38"/>
        <v>1357.5801397</v>
      </c>
      <c r="BO13" s="35">
        <f t="shared" si="39"/>
        <v>14.1059363</v>
      </c>
      <c r="BP13"/>
      <c r="BQ13" s="5">
        <f t="shared" si="121"/>
        <v>27059.894</v>
      </c>
      <c r="BR13" s="5">
        <f t="shared" si="40"/>
        <v>4410.141205</v>
      </c>
      <c r="BS13" s="5">
        <f t="shared" si="41"/>
        <v>31470.035205</v>
      </c>
      <c r="BT13" s="35">
        <f t="shared" si="42"/>
        <v>2498.9238401000002</v>
      </c>
      <c r="BU13" s="35">
        <f t="shared" si="43"/>
        <v>25.9650679</v>
      </c>
      <c r="BV13"/>
      <c r="BW13" s="5">
        <f t="shared" si="122"/>
        <v>70435.304</v>
      </c>
      <c r="BX13" s="5">
        <f t="shared" si="44"/>
        <v>11479.33678</v>
      </c>
      <c r="BY13" s="5">
        <f t="shared" si="45"/>
        <v>81914.64078</v>
      </c>
      <c r="BZ13" s="35">
        <f t="shared" si="46"/>
        <v>6504.5509916</v>
      </c>
      <c r="CA13" s="35">
        <f t="shared" si="47"/>
        <v>67.5855364</v>
      </c>
      <c r="CB13"/>
      <c r="CC13" s="5">
        <f t="shared" si="123"/>
        <v>7164.994</v>
      </c>
      <c r="CD13" s="5">
        <f t="shared" si="48"/>
        <v>1167.729455</v>
      </c>
      <c r="CE13" s="5">
        <f t="shared" si="49"/>
        <v>8332.723455</v>
      </c>
      <c r="CF13" s="35">
        <f t="shared" si="50"/>
        <v>661.6720051</v>
      </c>
      <c r="CG13" s="35">
        <f t="shared" si="51"/>
        <v>6.8751029</v>
      </c>
      <c r="CH13"/>
      <c r="CI13" s="5">
        <f t="shared" si="124"/>
        <v>895.412</v>
      </c>
      <c r="CJ13" s="5">
        <f t="shared" si="52"/>
        <v>145.93159</v>
      </c>
      <c r="CK13" s="5">
        <f t="shared" si="53"/>
        <v>1041.34359</v>
      </c>
      <c r="CL13" s="35">
        <f t="shared" si="54"/>
        <v>82.6893998</v>
      </c>
      <c r="CM13" s="35">
        <f t="shared" si="55"/>
        <v>0.8591842</v>
      </c>
      <c r="CN13"/>
      <c r="CO13" s="5">
        <f t="shared" si="125"/>
        <v>808.8140000000001</v>
      </c>
      <c r="CP13" s="5">
        <f t="shared" si="56"/>
        <v>131.818105</v>
      </c>
      <c r="CQ13" s="5">
        <f t="shared" si="57"/>
        <v>940.6321050000001</v>
      </c>
      <c r="CR13" s="35">
        <f t="shared" si="58"/>
        <v>74.6922581</v>
      </c>
      <c r="CS13" s="35">
        <f t="shared" si="59"/>
        <v>0.7760899</v>
      </c>
      <c r="CT13"/>
      <c r="CU13" s="5">
        <f t="shared" si="126"/>
        <v>20110.546</v>
      </c>
      <c r="CV13" s="5">
        <f t="shared" si="60"/>
        <v>3277.557095</v>
      </c>
      <c r="CW13" s="5">
        <f t="shared" si="61"/>
        <v>23388.103095</v>
      </c>
      <c r="CX13" s="35">
        <f t="shared" si="62"/>
        <v>1857.1662859</v>
      </c>
      <c r="CY13" s="35">
        <f t="shared" si="63"/>
        <v>19.296886100000002</v>
      </c>
      <c r="CZ13"/>
      <c r="DA13" s="5">
        <f t="shared" si="127"/>
        <v>1561.0279999999998</v>
      </c>
      <c r="DB13" s="5">
        <f t="shared" si="64"/>
        <v>254.41170999999997</v>
      </c>
      <c r="DC13" s="5">
        <f t="shared" si="65"/>
        <v>1815.4397099999996</v>
      </c>
      <c r="DD13" s="35">
        <f t="shared" si="66"/>
        <v>144.15762619999998</v>
      </c>
      <c r="DE13" s="35">
        <f t="shared" si="67"/>
        <v>1.4978698</v>
      </c>
      <c r="DF13"/>
      <c r="DG13" s="5">
        <f t="shared" si="128"/>
        <v>12347.289999999999</v>
      </c>
      <c r="DH13" s="5">
        <f t="shared" si="68"/>
        <v>2012.3246749999998</v>
      </c>
      <c r="DI13" s="35">
        <f t="shared" si="69"/>
        <v>14359.614674999999</v>
      </c>
      <c r="DJ13" s="35">
        <f t="shared" si="70"/>
        <v>1140.2460535</v>
      </c>
      <c r="DK13" s="35">
        <f t="shared" si="71"/>
        <v>11.847726499999998</v>
      </c>
      <c r="DM13" s="5">
        <f t="shared" si="129"/>
        <v>63754.806000000004</v>
      </c>
      <c r="DN13" s="5">
        <f t="shared" si="72"/>
        <v>10390.569045</v>
      </c>
      <c r="DO13" s="5">
        <f t="shared" si="73"/>
        <v>74145.37504500001</v>
      </c>
      <c r="DP13" s="35">
        <f t="shared" si="74"/>
        <v>5887.621164900001</v>
      </c>
      <c r="DQ13" s="35">
        <f t="shared" si="75"/>
        <v>61.175327100000004</v>
      </c>
      <c r="DS13" s="5">
        <f t="shared" si="130"/>
        <v>5058.342</v>
      </c>
      <c r="DT13" s="5">
        <f t="shared" si="76"/>
        <v>824.393565</v>
      </c>
      <c r="DU13" s="5">
        <f t="shared" si="77"/>
        <v>5882.735565</v>
      </c>
      <c r="DV13" s="35">
        <f t="shared" si="78"/>
        <v>467.1271593</v>
      </c>
      <c r="DW13" s="35">
        <f t="shared" si="79"/>
        <v>4.8536847</v>
      </c>
      <c r="DY13" s="5">
        <f t="shared" si="131"/>
        <v>13733.424</v>
      </c>
      <c r="DZ13" s="5">
        <f t="shared" si="80"/>
        <v>2238.23268</v>
      </c>
      <c r="EA13" s="5">
        <f t="shared" si="81"/>
        <v>15971.65668</v>
      </c>
      <c r="EB13" s="35">
        <f t="shared" si="82"/>
        <v>1268.2525896</v>
      </c>
      <c r="EC13" s="35">
        <f t="shared" si="83"/>
        <v>13.1777784</v>
      </c>
      <c r="EE13" s="5">
        <f t="shared" si="132"/>
        <v>15399.728000000001</v>
      </c>
      <c r="EF13" s="5">
        <f t="shared" si="84"/>
        <v>2509.8019600000002</v>
      </c>
      <c r="EG13" s="35">
        <f t="shared" si="85"/>
        <v>17909.52996</v>
      </c>
      <c r="EH13" s="35">
        <f t="shared" si="86"/>
        <v>1422.1322312000002</v>
      </c>
      <c r="EI13" s="35">
        <f t="shared" si="87"/>
        <v>14.7766648</v>
      </c>
      <c r="EK13" s="5">
        <f t="shared" si="133"/>
        <v>38802.13</v>
      </c>
      <c r="EL13" s="5">
        <f t="shared" si="88"/>
        <v>6323.8559749999995</v>
      </c>
      <c r="EM13" s="35">
        <f t="shared" si="89"/>
        <v>45125.985974999996</v>
      </c>
      <c r="EN13" s="35">
        <f t="shared" si="90"/>
        <v>3583.2944395</v>
      </c>
      <c r="EO13" s="35">
        <f t="shared" si="91"/>
        <v>37.2322205</v>
      </c>
      <c r="EQ13" s="5">
        <f t="shared" si="134"/>
        <v>59615.082</v>
      </c>
      <c r="ER13" s="5">
        <f t="shared" si="92"/>
        <v>9715.889115</v>
      </c>
      <c r="ES13" s="35">
        <f t="shared" si="93"/>
        <v>69330.97111500001</v>
      </c>
      <c r="ET13" s="35">
        <f t="shared" si="94"/>
        <v>5505.3264303000005</v>
      </c>
      <c r="EU13" s="35">
        <f t="shared" si="95"/>
        <v>57.203093700000004</v>
      </c>
      <c r="EW13" s="5">
        <f t="shared" si="135"/>
        <v>282603.234</v>
      </c>
      <c r="EX13" s="5">
        <f t="shared" si="96"/>
        <v>46057.836255</v>
      </c>
      <c r="EY13" s="5">
        <f t="shared" si="97"/>
        <v>328661.070255</v>
      </c>
      <c r="EZ13" s="35">
        <f t="shared" si="98"/>
        <v>26097.8095011</v>
      </c>
      <c r="FA13" s="35">
        <f t="shared" si="99"/>
        <v>271.1692869</v>
      </c>
      <c r="FC13" s="5">
        <f t="shared" si="136"/>
        <v>239047.83599999998</v>
      </c>
      <c r="FD13" s="5">
        <f t="shared" si="100"/>
        <v>38959.306769999996</v>
      </c>
      <c r="FE13" s="5">
        <f t="shared" si="101"/>
        <v>278007.14277</v>
      </c>
      <c r="FF13" s="35">
        <f t="shared" si="102"/>
        <v>22075.560839399997</v>
      </c>
      <c r="FG13" s="35">
        <f t="shared" si="103"/>
        <v>229.37611259999997</v>
      </c>
      <c r="FI13" s="5">
        <f t="shared" si="137"/>
        <v>1499.8999999999999</v>
      </c>
      <c r="FJ13" s="5">
        <f t="shared" si="104"/>
        <v>244.44924999999998</v>
      </c>
      <c r="FK13" s="5">
        <f t="shared" si="105"/>
        <v>1744.3492499999998</v>
      </c>
      <c r="FL13" s="35">
        <f t="shared" si="106"/>
        <v>138.512585</v>
      </c>
      <c r="FM13" s="35">
        <f t="shared" si="107"/>
        <v>1.439215</v>
      </c>
      <c r="FO13" s="5">
        <f t="shared" si="138"/>
        <v>4224.058</v>
      </c>
      <c r="FP13" s="5">
        <f t="shared" si="108"/>
        <v>688.424435</v>
      </c>
      <c r="FQ13" s="5">
        <f t="shared" si="109"/>
        <v>4912.482435</v>
      </c>
      <c r="FR13" s="35">
        <f t="shared" si="110"/>
        <v>390.0828007</v>
      </c>
      <c r="FS13" s="35">
        <f t="shared" si="111"/>
        <v>4.0531553</v>
      </c>
    </row>
    <row r="14" spans="1:175" ht="12.75">
      <c r="A14" s="36">
        <v>45931</v>
      </c>
      <c r="C14" s="77">
        <f>'2019C'!C14</f>
        <v>0</v>
      </c>
      <c r="D14" s="77">
        <f>'2019C'!D14</f>
        <v>809250</v>
      </c>
      <c r="E14" s="34">
        <f t="shared" si="0"/>
        <v>809250</v>
      </c>
      <c r="F14" s="77">
        <f>'2019C'!F14</f>
        <v>522689</v>
      </c>
      <c r="G14" s="77">
        <f>'2019C'!G14</f>
        <v>5431</v>
      </c>
      <c r="I14" s="46"/>
      <c r="J14" s="35">
        <f t="shared" si="1"/>
        <v>180649.68675</v>
      </c>
      <c r="K14" s="35">
        <f t="shared" si="2"/>
        <v>180649.68675</v>
      </c>
      <c r="L14" s="35">
        <f t="shared" si="3"/>
        <v>116680.38815900001</v>
      </c>
      <c r="M14" s="35">
        <f t="shared" si="3"/>
        <v>1212.3675610000003</v>
      </c>
      <c r="N14"/>
      <c r="P14" s="5">
        <f t="shared" si="4"/>
        <v>37874.275725</v>
      </c>
      <c r="Q14" s="5">
        <f t="shared" si="5"/>
        <v>37874.275725</v>
      </c>
      <c r="R14" s="35">
        <f t="shared" si="6"/>
        <v>24462.7337713</v>
      </c>
      <c r="S14" s="35">
        <f t="shared" si="7"/>
        <v>254.1800327</v>
      </c>
      <c r="T14"/>
      <c r="V14" s="5">
        <f t="shared" si="8"/>
        <v>5271.211725</v>
      </c>
      <c r="W14" s="35">
        <f t="shared" si="9"/>
        <v>5271.211725</v>
      </c>
      <c r="X14" s="35">
        <f t="shared" si="10"/>
        <v>3404.6393393</v>
      </c>
      <c r="Y14" s="35">
        <f t="shared" si="11"/>
        <v>35.3759047</v>
      </c>
      <c r="Z14" s="35"/>
      <c r="AB14" s="5">
        <f t="shared" si="12"/>
        <v>757.458</v>
      </c>
      <c r="AC14" s="5">
        <f t="shared" si="13"/>
        <v>757.458</v>
      </c>
      <c r="AD14" s="35">
        <f t="shared" si="14"/>
        <v>489.236904</v>
      </c>
      <c r="AE14" s="35">
        <f t="shared" si="15"/>
        <v>5.083416</v>
      </c>
      <c r="AF14"/>
      <c r="AH14" s="5">
        <f t="shared" si="16"/>
        <v>4457.429925</v>
      </c>
      <c r="AI14" s="5">
        <f t="shared" si="17"/>
        <v>4457.429925</v>
      </c>
      <c r="AJ14" s="35">
        <f t="shared" si="18"/>
        <v>2879.0232809</v>
      </c>
      <c r="AK14" s="35">
        <f t="shared" si="19"/>
        <v>29.9144911</v>
      </c>
      <c r="AL14"/>
      <c r="AN14" s="5">
        <f t="shared" si="20"/>
        <v>1980.477525</v>
      </c>
      <c r="AO14" s="5">
        <f t="shared" si="21"/>
        <v>1980.477525</v>
      </c>
      <c r="AP14" s="35">
        <f t="shared" si="22"/>
        <v>1279.1767897</v>
      </c>
      <c r="AQ14" s="35">
        <f t="shared" si="23"/>
        <v>13.2912863</v>
      </c>
      <c r="AR14"/>
      <c r="AT14" s="5">
        <f t="shared" si="24"/>
        <v>1259.112075</v>
      </c>
      <c r="AU14" s="5">
        <f t="shared" si="25"/>
        <v>1259.112075</v>
      </c>
      <c r="AV14" s="35">
        <f t="shared" si="26"/>
        <v>813.2518151</v>
      </c>
      <c r="AW14" s="35">
        <f t="shared" si="27"/>
        <v>8.4500929</v>
      </c>
      <c r="AX14"/>
      <c r="AZ14" s="5">
        <f t="shared" si="28"/>
        <v>3397.636125</v>
      </c>
      <c r="BA14" s="5">
        <f t="shared" si="29"/>
        <v>3397.636125</v>
      </c>
      <c r="BB14" s="35">
        <f t="shared" si="30"/>
        <v>2194.5097665</v>
      </c>
      <c r="BC14" s="35">
        <f t="shared" si="31"/>
        <v>22.8020535</v>
      </c>
      <c r="BD14"/>
      <c r="BF14" s="5">
        <f t="shared" si="32"/>
        <v>0.6474</v>
      </c>
      <c r="BG14" s="5">
        <f t="shared" si="33"/>
        <v>0.6474</v>
      </c>
      <c r="BH14" s="35">
        <f t="shared" si="34"/>
        <v>0.4181512</v>
      </c>
      <c r="BI14" s="35">
        <f t="shared" si="35"/>
        <v>0.0043448</v>
      </c>
      <c r="BJ14"/>
      <c r="BL14" s="5">
        <f t="shared" si="36"/>
        <v>2101.865025</v>
      </c>
      <c r="BM14" s="35">
        <f t="shared" si="37"/>
        <v>2101.865025</v>
      </c>
      <c r="BN14" s="35">
        <f t="shared" si="38"/>
        <v>1357.5801397</v>
      </c>
      <c r="BO14" s="35">
        <f t="shared" si="39"/>
        <v>14.1059363</v>
      </c>
      <c r="BP14"/>
      <c r="BR14" s="5">
        <f t="shared" si="40"/>
        <v>3868.943325</v>
      </c>
      <c r="BS14" s="5">
        <f t="shared" si="41"/>
        <v>3868.943325</v>
      </c>
      <c r="BT14" s="35">
        <f t="shared" si="42"/>
        <v>2498.9238401000002</v>
      </c>
      <c r="BU14" s="35">
        <f t="shared" si="43"/>
        <v>25.9650679</v>
      </c>
      <c r="BV14"/>
      <c r="BX14" s="5">
        <f t="shared" si="44"/>
        <v>10070.6307</v>
      </c>
      <c r="BY14" s="5">
        <f t="shared" si="45"/>
        <v>10070.6307</v>
      </c>
      <c r="BZ14" s="35">
        <f t="shared" si="46"/>
        <v>6504.5509916</v>
      </c>
      <c r="CA14" s="35">
        <f t="shared" si="47"/>
        <v>67.5855364</v>
      </c>
      <c r="CB14"/>
      <c r="CD14" s="5">
        <f t="shared" si="48"/>
        <v>1024.4295749999999</v>
      </c>
      <c r="CE14" s="5">
        <f t="shared" si="49"/>
        <v>1024.4295749999999</v>
      </c>
      <c r="CF14" s="35">
        <f t="shared" si="50"/>
        <v>661.6720051</v>
      </c>
      <c r="CG14" s="35">
        <f t="shared" si="51"/>
        <v>6.8751029</v>
      </c>
      <c r="CH14"/>
      <c r="CJ14" s="5">
        <f t="shared" si="52"/>
        <v>128.02335</v>
      </c>
      <c r="CK14" s="5">
        <f t="shared" si="53"/>
        <v>128.02335</v>
      </c>
      <c r="CL14" s="35">
        <f t="shared" si="54"/>
        <v>82.6893998</v>
      </c>
      <c r="CM14" s="35">
        <f t="shared" si="55"/>
        <v>0.8591842</v>
      </c>
      <c r="CN14"/>
      <c r="CP14" s="5">
        <f t="shared" si="56"/>
        <v>115.641825</v>
      </c>
      <c r="CQ14" s="5">
        <f t="shared" si="57"/>
        <v>115.641825</v>
      </c>
      <c r="CR14" s="35">
        <f t="shared" si="58"/>
        <v>74.6922581</v>
      </c>
      <c r="CS14" s="35">
        <f t="shared" si="59"/>
        <v>0.7760899</v>
      </c>
      <c r="CT14"/>
      <c r="CV14" s="5">
        <f t="shared" si="60"/>
        <v>2875.346175</v>
      </c>
      <c r="CW14" s="5">
        <f t="shared" si="61"/>
        <v>2875.346175</v>
      </c>
      <c r="CX14" s="35">
        <f t="shared" si="62"/>
        <v>1857.1662859</v>
      </c>
      <c r="CY14" s="35">
        <f t="shared" si="63"/>
        <v>19.296886100000002</v>
      </c>
      <c r="CZ14"/>
      <c r="DB14" s="5">
        <f t="shared" si="64"/>
        <v>223.19115</v>
      </c>
      <c r="DC14" s="5">
        <f t="shared" si="65"/>
        <v>223.19115</v>
      </c>
      <c r="DD14" s="35">
        <f t="shared" si="66"/>
        <v>144.15762619999998</v>
      </c>
      <c r="DE14" s="35">
        <f t="shared" si="67"/>
        <v>1.4978698</v>
      </c>
      <c r="DF14"/>
      <c r="DH14" s="5">
        <f t="shared" si="68"/>
        <v>1765.3788749999999</v>
      </c>
      <c r="DI14" s="35">
        <f t="shared" si="69"/>
        <v>1765.3788749999999</v>
      </c>
      <c r="DJ14" s="35">
        <f t="shared" si="70"/>
        <v>1140.2460535</v>
      </c>
      <c r="DK14" s="35">
        <f t="shared" si="71"/>
        <v>11.847726499999998</v>
      </c>
      <c r="DN14" s="5">
        <f t="shared" si="72"/>
        <v>9115.472925</v>
      </c>
      <c r="DO14" s="5">
        <f t="shared" si="73"/>
        <v>9115.472925</v>
      </c>
      <c r="DP14" s="35">
        <f t="shared" si="74"/>
        <v>5887.621164900001</v>
      </c>
      <c r="DQ14" s="35">
        <f t="shared" si="75"/>
        <v>61.175327100000004</v>
      </c>
      <c r="DT14" s="5">
        <f t="shared" si="76"/>
        <v>723.226725</v>
      </c>
      <c r="DU14" s="5">
        <f t="shared" si="77"/>
        <v>723.226725</v>
      </c>
      <c r="DV14" s="35">
        <f t="shared" si="78"/>
        <v>467.1271593</v>
      </c>
      <c r="DW14" s="35">
        <f t="shared" si="79"/>
        <v>4.8536847</v>
      </c>
      <c r="DZ14" s="5">
        <f t="shared" si="80"/>
        <v>1963.5642</v>
      </c>
      <c r="EA14" s="5">
        <f t="shared" si="81"/>
        <v>1963.5642</v>
      </c>
      <c r="EB14" s="35">
        <f t="shared" si="82"/>
        <v>1268.2525896</v>
      </c>
      <c r="EC14" s="35">
        <f t="shared" si="83"/>
        <v>13.1777784</v>
      </c>
      <c r="EF14" s="5">
        <f t="shared" si="84"/>
        <v>2201.8074</v>
      </c>
      <c r="EG14" s="35">
        <f t="shared" si="85"/>
        <v>2201.8074</v>
      </c>
      <c r="EH14" s="35">
        <f t="shared" si="86"/>
        <v>1422.1322312000002</v>
      </c>
      <c r="EI14" s="35">
        <f t="shared" si="87"/>
        <v>14.7766648</v>
      </c>
      <c r="EL14" s="5">
        <f t="shared" si="88"/>
        <v>5547.813375</v>
      </c>
      <c r="EM14" s="35">
        <f t="shared" si="89"/>
        <v>5547.813375</v>
      </c>
      <c r="EN14" s="35">
        <f t="shared" si="90"/>
        <v>3583.2944395</v>
      </c>
      <c r="EO14" s="35">
        <f t="shared" si="91"/>
        <v>37.2322205</v>
      </c>
      <c r="ER14" s="5">
        <f t="shared" si="92"/>
        <v>8523.587475</v>
      </c>
      <c r="ES14" s="35">
        <f t="shared" si="93"/>
        <v>8523.587475</v>
      </c>
      <c r="ET14" s="35">
        <f t="shared" si="94"/>
        <v>5505.3264303000005</v>
      </c>
      <c r="EU14" s="35">
        <f t="shared" si="95"/>
        <v>57.203093700000004</v>
      </c>
      <c r="EX14" s="5">
        <f t="shared" si="96"/>
        <v>40405.771575</v>
      </c>
      <c r="EY14" s="5">
        <f t="shared" si="97"/>
        <v>40405.771575</v>
      </c>
      <c r="EZ14" s="35">
        <f t="shared" si="98"/>
        <v>26097.8095011</v>
      </c>
      <c r="FA14" s="35">
        <f t="shared" si="99"/>
        <v>271.1692869</v>
      </c>
      <c r="FD14" s="5">
        <f t="shared" si="100"/>
        <v>34178.35005</v>
      </c>
      <c r="FE14" s="5">
        <f t="shared" si="101"/>
        <v>34178.35005</v>
      </c>
      <c r="FF14" s="35">
        <f t="shared" si="102"/>
        <v>22075.560839399997</v>
      </c>
      <c r="FG14" s="35">
        <f t="shared" si="103"/>
        <v>229.37611259999997</v>
      </c>
      <c r="FJ14" s="5">
        <f t="shared" si="104"/>
        <v>214.45125</v>
      </c>
      <c r="FK14" s="5">
        <f t="shared" si="105"/>
        <v>214.45125</v>
      </c>
      <c r="FL14" s="35">
        <f t="shared" si="106"/>
        <v>138.512585</v>
      </c>
      <c r="FM14" s="35">
        <f t="shared" si="107"/>
        <v>1.439215</v>
      </c>
      <c r="FP14" s="5">
        <f t="shared" si="108"/>
        <v>603.943275</v>
      </c>
      <c r="FQ14" s="5">
        <f t="shared" si="109"/>
        <v>603.943275</v>
      </c>
      <c r="FR14" s="35">
        <f t="shared" si="110"/>
        <v>390.0828007</v>
      </c>
      <c r="FS14" s="35">
        <f t="shared" si="111"/>
        <v>4.0531553</v>
      </c>
    </row>
    <row r="15" spans="1:175" ht="12.75">
      <c r="A15" s="36">
        <v>46113</v>
      </c>
      <c r="C15" s="77">
        <f>'2019C'!C15</f>
        <v>5875000</v>
      </c>
      <c r="D15" s="77">
        <f>'2019C'!D15</f>
        <v>809250</v>
      </c>
      <c r="E15" s="34">
        <f t="shared" si="0"/>
        <v>6684250</v>
      </c>
      <c r="F15" s="77">
        <f>'2019C'!F15</f>
        <v>522689</v>
      </c>
      <c r="G15" s="77">
        <f>'2019C'!G15</f>
        <v>5431</v>
      </c>
      <c r="I15" s="46">
        <f>O15+U15+AG15+AM15+AS15+AA15+AY15+BE15+BK15+BQ15+BW15+CC15+CI15+CO15+CU15+DA15+DG15+DM15+DS15+DY15+EE15+EK15+EQ15+EW15+FC15+FI15+FO15</f>
        <v>1311482.1249999998</v>
      </c>
      <c r="J15" s="35">
        <f t="shared" si="1"/>
        <v>180649.68675</v>
      </c>
      <c r="K15" s="35">
        <f t="shared" si="2"/>
        <v>1492131.8117499999</v>
      </c>
      <c r="L15" s="35">
        <f t="shared" si="3"/>
        <v>116680.38815900001</v>
      </c>
      <c r="M15" s="35">
        <f t="shared" si="3"/>
        <v>1212.3675610000003</v>
      </c>
      <c r="N15"/>
      <c r="O15" s="5">
        <f t="shared" si="112"/>
        <v>274959.9875</v>
      </c>
      <c r="P15" s="5">
        <f t="shared" si="4"/>
        <v>37874.275725</v>
      </c>
      <c r="Q15" s="5">
        <f t="shared" si="5"/>
        <v>312834.263225</v>
      </c>
      <c r="R15" s="35">
        <f t="shared" si="6"/>
        <v>24462.7337713</v>
      </c>
      <c r="S15" s="35">
        <f t="shared" si="7"/>
        <v>254.1800327</v>
      </c>
      <c r="T15"/>
      <c r="U15" s="5">
        <f t="shared" si="113"/>
        <v>38267.987499999996</v>
      </c>
      <c r="V15" s="5">
        <f t="shared" si="8"/>
        <v>5271.211725</v>
      </c>
      <c r="W15" s="35">
        <f t="shared" si="9"/>
        <v>43539.199225</v>
      </c>
      <c r="X15" s="35">
        <f t="shared" si="10"/>
        <v>3404.6393393</v>
      </c>
      <c r="Y15" s="35">
        <f t="shared" si="11"/>
        <v>35.3759047</v>
      </c>
      <c r="Z15" s="35"/>
      <c r="AA15" s="5">
        <f t="shared" si="114"/>
        <v>5499</v>
      </c>
      <c r="AB15" s="5">
        <f t="shared" si="12"/>
        <v>757.458</v>
      </c>
      <c r="AC15" s="5">
        <f t="shared" si="13"/>
        <v>6256.458</v>
      </c>
      <c r="AD15" s="35">
        <f t="shared" si="14"/>
        <v>489.236904</v>
      </c>
      <c r="AE15" s="35">
        <f t="shared" si="15"/>
        <v>5.083416</v>
      </c>
      <c r="AF15"/>
      <c r="AG15" s="5">
        <f t="shared" si="115"/>
        <v>32360.0875</v>
      </c>
      <c r="AH15" s="5">
        <f t="shared" si="16"/>
        <v>4457.429925</v>
      </c>
      <c r="AI15" s="5">
        <f t="shared" si="17"/>
        <v>36817.517425</v>
      </c>
      <c r="AJ15" s="35">
        <f t="shared" si="18"/>
        <v>2879.0232809</v>
      </c>
      <c r="AK15" s="35">
        <f t="shared" si="19"/>
        <v>29.9144911</v>
      </c>
      <c r="AL15"/>
      <c r="AM15" s="5">
        <f t="shared" si="116"/>
        <v>14377.887499999999</v>
      </c>
      <c r="AN15" s="5">
        <f t="shared" si="20"/>
        <v>1980.477525</v>
      </c>
      <c r="AO15" s="5">
        <f t="shared" si="21"/>
        <v>16358.365025</v>
      </c>
      <c r="AP15" s="35">
        <f t="shared" si="22"/>
        <v>1279.1767897</v>
      </c>
      <c r="AQ15" s="35">
        <f t="shared" si="23"/>
        <v>13.2912863</v>
      </c>
      <c r="AR15"/>
      <c r="AS15" s="5">
        <f t="shared" si="117"/>
        <v>9140.9125</v>
      </c>
      <c r="AT15" s="5">
        <f t="shared" si="24"/>
        <v>1259.112075</v>
      </c>
      <c r="AU15" s="5">
        <f t="shared" si="25"/>
        <v>10400.024575</v>
      </c>
      <c r="AV15" s="35">
        <f t="shared" si="26"/>
        <v>813.2518151</v>
      </c>
      <c r="AW15" s="35">
        <f t="shared" si="27"/>
        <v>8.4500929</v>
      </c>
      <c r="AX15"/>
      <c r="AY15" s="5">
        <f t="shared" si="118"/>
        <v>24666.1875</v>
      </c>
      <c r="AZ15" s="5">
        <f t="shared" si="28"/>
        <v>3397.636125</v>
      </c>
      <c r="BA15" s="5">
        <f t="shared" si="29"/>
        <v>28063.823625</v>
      </c>
      <c r="BB15" s="35">
        <f t="shared" si="30"/>
        <v>2194.5097665</v>
      </c>
      <c r="BC15" s="35">
        <f t="shared" si="31"/>
        <v>22.8020535</v>
      </c>
      <c r="BD15"/>
      <c r="BE15" s="5">
        <f t="shared" si="119"/>
        <v>4.7</v>
      </c>
      <c r="BF15" s="5">
        <f t="shared" si="32"/>
        <v>0.6474</v>
      </c>
      <c r="BG15" s="5">
        <f t="shared" si="33"/>
        <v>5.3474</v>
      </c>
      <c r="BH15" s="35">
        <f t="shared" si="34"/>
        <v>0.4181512</v>
      </c>
      <c r="BI15" s="35">
        <f t="shared" si="35"/>
        <v>0.0043448</v>
      </c>
      <c r="BJ15"/>
      <c r="BK15" s="5">
        <f t="shared" si="120"/>
        <v>15259.137499999999</v>
      </c>
      <c r="BL15" s="5">
        <f t="shared" si="36"/>
        <v>2101.865025</v>
      </c>
      <c r="BM15" s="35">
        <f t="shared" si="37"/>
        <v>17361.002525</v>
      </c>
      <c r="BN15" s="35">
        <f t="shared" si="38"/>
        <v>1357.5801397</v>
      </c>
      <c r="BO15" s="35">
        <f t="shared" si="39"/>
        <v>14.1059363</v>
      </c>
      <c r="BP15"/>
      <c r="BQ15" s="5">
        <f t="shared" si="121"/>
        <v>28087.787500000002</v>
      </c>
      <c r="BR15" s="5">
        <f t="shared" si="40"/>
        <v>3868.943325</v>
      </c>
      <c r="BS15" s="5">
        <f t="shared" si="41"/>
        <v>31956.730825000002</v>
      </c>
      <c r="BT15" s="35">
        <f t="shared" si="42"/>
        <v>2498.9238401000002</v>
      </c>
      <c r="BU15" s="35">
        <f t="shared" si="43"/>
        <v>25.9650679</v>
      </c>
      <c r="BV15"/>
      <c r="BW15" s="5">
        <f t="shared" si="122"/>
        <v>73110.84999999999</v>
      </c>
      <c r="BX15" s="5">
        <f t="shared" si="44"/>
        <v>10070.6307</v>
      </c>
      <c r="BY15" s="5">
        <f t="shared" si="45"/>
        <v>83181.48069999999</v>
      </c>
      <c r="BZ15" s="35">
        <f t="shared" si="46"/>
        <v>6504.5509916</v>
      </c>
      <c r="CA15" s="35">
        <f t="shared" si="47"/>
        <v>67.5855364</v>
      </c>
      <c r="CB15"/>
      <c r="CC15" s="5">
        <f t="shared" si="123"/>
        <v>7437.162499999999</v>
      </c>
      <c r="CD15" s="5">
        <f t="shared" si="48"/>
        <v>1024.4295749999999</v>
      </c>
      <c r="CE15" s="5">
        <f t="shared" si="49"/>
        <v>8461.592074999999</v>
      </c>
      <c r="CF15" s="35">
        <f t="shared" si="50"/>
        <v>661.6720051</v>
      </c>
      <c r="CG15" s="35">
        <f t="shared" si="51"/>
        <v>6.8751029</v>
      </c>
      <c r="CH15"/>
      <c r="CI15" s="5">
        <f t="shared" si="124"/>
        <v>929.425</v>
      </c>
      <c r="CJ15" s="5">
        <f t="shared" si="52"/>
        <v>128.02335</v>
      </c>
      <c r="CK15" s="5">
        <f t="shared" si="53"/>
        <v>1057.44835</v>
      </c>
      <c r="CL15" s="35">
        <f t="shared" si="54"/>
        <v>82.6893998</v>
      </c>
      <c r="CM15" s="35">
        <f t="shared" si="55"/>
        <v>0.8591842</v>
      </c>
      <c r="CN15"/>
      <c r="CO15" s="5">
        <f t="shared" si="125"/>
        <v>839.5375</v>
      </c>
      <c r="CP15" s="5">
        <f t="shared" si="56"/>
        <v>115.641825</v>
      </c>
      <c r="CQ15" s="5">
        <f t="shared" si="57"/>
        <v>955.1793250000001</v>
      </c>
      <c r="CR15" s="35">
        <f t="shared" si="58"/>
        <v>74.6922581</v>
      </c>
      <c r="CS15" s="35">
        <f t="shared" si="59"/>
        <v>0.7760899</v>
      </c>
      <c r="CT15"/>
      <c r="CU15" s="5">
        <f t="shared" si="126"/>
        <v>20874.4625</v>
      </c>
      <c r="CV15" s="5">
        <f t="shared" si="60"/>
        <v>2875.346175</v>
      </c>
      <c r="CW15" s="5">
        <f t="shared" si="61"/>
        <v>23749.808675</v>
      </c>
      <c r="CX15" s="35">
        <f t="shared" si="62"/>
        <v>1857.1662859</v>
      </c>
      <c r="CY15" s="35">
        <f t="shared" si="63"/>
        <v>19.296886100000002</v>
      </c>
      <c r="CZ15"/>
      <c r="DA15" s="5">
        <f t="shared" si="127"/>
        <v>1620.3249999999998</v>
      </c>
      <c r="DB15" s="5">
        <f t="shared" si="64"/>
        <v>223.19115</v>
      </c>
      <c r="DC15" s="5">
        <f t="shared" si="65"/>
        <v>1843.51615</v>
      </c>
      <c r="DD15" s="35">
        <f t="shared" si="66"/>
        <v>144.15762619999998</v>
      </c>
      <c r="DE15" s="35">
        <f t="shared" si="67"/>
        <v>1.4978698</v>
      </c>
      <c r="DF15"/>
      <c r="DG15" s="5">
        <f t="shared" si="128"/>
        <v>12816.3125</v>
      </c>
      <c r="DH15" s="5">
        <f t="shared" si="68"/>
        <v>1765.3788749999999</v>
      </c>
      <c r="DI15" s="35">
        <f t="shared" si="69"/>
        <v>14581.691375</v>
      </c>
      <c r="DJ15" s="35">
        <f t="shared" si="70"/>
        <v>1140.2460535</v>
      </c>
      <c r="DK15" s="35">
        <f t="shared" si="71"/>
        <v>11.847726499999998</v>
      </c>
      <c r="DM15" s="5">
        <f t="shared" si="129"/>
        <v>66176.58750000001</v>
      </c>
      <c r="DN15" s="5">
        <f t="shared" si="72"/>
        <v>9115.472925</v>
      </c>
      <c r="DO15" s="5">
        <f t="shared" si="73"/>
        <v>75292.060425</v>
      </c>
      <c r="DP15" s="35">
        <f t="shared" si="74"/>
        <v>5887.621164900001</v>
      </c>
      <c r="DQ15" s="35">
        <f t="shared" si="75"/>
        <v>61.175327100000004</v>
      </c>
      <c r="DS15" s="5">
        <f t="shared" si="130"/>
        <v>5250.4875</v>
      </c>
      <c r="DT15" s="5">
        <f t="shared" si="76"/>
        <v>723.226725</v>
      </c>
      <c r="DU15" s="5">
        <f t="shared" si="77"/>
        <v>5973.714225</v>
      </c>
      <c r="DV15" s="35">
        <f t="shared" si="78"/>
        <v>467.1271593</v>
      </c>
      <c r="DW15" s="35">
        <f t="shared" si="79"/>
        <v>4.8536847</v>
      </c>
      <c r="DY15" s="5">
        <f t="shared" si="131"/>
        <v>14255.1</v>
      </c>
      <c r="DZ15" s="5">
        <f t="shared" si="80"/>
        <v>1963.5642</v>
      </c>
      <c r="EA15" s="5">
        <f t="shared" si="81"/>
        <v>16218.664200000001</v>
      </c>
      <c r="EB15" s="35">
        <f t="shared" si="82"/>
        <v>1268.2525896</v>
      </c>
      <c r="EC15" s="35">
        <f t="shared" si="83"/>
        <v>13.1777784</v>
      </c>
      <c r="EE15" s="5">
        <f t="shared" si="132"/>
        <v>15984.7</v>
      </c>
      <c r="EF15" s="5">
        <f t="shared" si="84"/>
        <v>2201.8074</v>
      </c>
      <c r="EG15" s="35">
        <f t="shared" si="85"/>
        <v>18186.507400000002</v>
      </c>
      <c r="EH15" s="35">
        <f t="shared" si="86"/>
        <v>1422.1322312000002</v>
      </c>
      <c r="EI15" s="35">
        <f t="shared" si="87"/>
        <v>14.7766648</v>
      </c>
      <c r="EK15" s="5">
        <f t="shared" si="133"/>
        <v>40276.0625</v>
      </c>
      <c r="EL15" s="5">
        <f t="shared" si="88"/>
        <v>5547.813375</v>
      </c>
      <c r="EM15" s="35">
        <f t="shared" si="89"/>
        <v>45823.875875</v>
      </c>
      <c r="EN15" s="35">
        <f t="shared" si="90"/>
        <v>3583.2944395</v>
      </c>
      <c r="EO15" s="35">
        <f t="shared" si="91"/>
        <v>37.2322205</v>
      </c>
      <c r="EQ15" s="5">
        <f t="shared" si="134"/>
        <v>61879.6125</v>
      </c>
      <c r="ER15" s="5">
        <f t="shared" si="92"/>
        <v>8523.587475</v>
      </c>
      <c r="ES15" s="35">
        <f t="shared" si="93"/>
        <v>70403.199975</v>
      </c>
      <c r="ET15" s="35">
        <f t="shared" si="94"/>
        <v>5505.3264303000005</v>
      </c>
      <c r="EU15" s="35">
        <f t="shared" si="95"/>
        <v>57.203093700000004</v>
      </c>
      <c r="EW15" s="5">
        <f t="shared" si="135"/>
        <v>293338.1625</v>
      </c>
      <c r="EX15" s="5">
        <f t="shared" si="96"/>
        <v>40405.771575</v>
      </c>
      <c r="EY15" s="5">
        <f t="shared" si="97"/>
        <v>333743.934075</v>
      </c>
      <c r="EZ15" s="35">
        <f t="shared" si="98"/>
        <v>26097.8095011</v>
      </c>
      <c r="FA15" s="35">
        <f t="shared" si="99"/>
        <v>271.1692869</v>
      </c>
      <c r="FC15" s="5">
        <f t="shared" si="136"/>
        <v>248128.275</v>
      </c>
      <c r="FD15" s="5">
        <f t="shared" si="100"/>
        <v>34178.35005</v>
      </c>
      <c r="FE15" s="5">
        <f t="shared" si="101"/>
        <v>282306.62505</v>
      </c>
      <c r="FF15" s="35">
        <f t="shared" si="102"/>
        <v>22075.560839399997</v>
      </c>
      <c r="FG15" s="35">
        <f t="shared" si="103"/>
        <v>229.37611259999997</v>
      </c>
      <c r="FI15" s="5">
        <f t="shared" si="137"/>
        <v>1556.875</v>
      </c>
      <c r="FJ15" s="5">
        <f t="shared" si="104"/>
        <v>214.45125</v>
      </c>
      <c r="FK15" s="5">
        <f t="shared" si="105"/>
        <v>1771.32625</v>
      </c>
      <c r="FL15" s="35">
        <f t="shared" si="106"/>
        <v>138.512585</v>
      </c>
      <c r="FM15" s="35">
        <f t="shared" si="107"/>
        <v>1.439215</v>
      </c>
      <c r="FO15" s="5">
        <f t="shared" si="138"/>
        <v>4384.5125</v>
      </c>
      <c r="FP15" s="5">
        <f t="shared" si="108"/>
        <v>603.943275</v>
      </c>
      <c r="FQ15" s="5">
        <f t="shared" si="109"/>
        <v>4988.455774999999</v>
      </c>
      <c r="FR15" s="35">
        <f t="shared" si="110"/>
        <v>390.0828007</v>
      </c>
      <c r="FS15" s="35">
        <f t="shared" si="111"/>
        <v>4.0531553</v>
      </c>
    </row>
    <row r="16" spans="1:175" ht="12.75">
      <c r="A16" s="36">
        <v>46296</v>
      </c>
      <c r="C16" s="77">
        <f>'2019C'!C16</f>
        <v>0</v>
      </c>
      <c r="D16" s="77">
        <f>'2019C'!D16</f>
        <v>662375</v>
      </c>
      <c r="E16" s="34">
        <f t="shared" si="0"/>
        <v>662375</v>
      </c>
      <c r="F16" s="77">
        <f>'2019C'!F16</f>
        <v>522689</v>
      </c>
      <c r="G16" s="77">
        <f>'2019C'!G16</f>
        <v>5431</v>
      </c>
      <c r="I16" s="46"/>
      <c r="J16" s="35">
        <f t="shared" si="1"/>
        <v>147862.633625</v>
      </c>
      <c r="K16" s="35">
        <f t="shared" si="2"/>
        <v>147862.633625</v>
      </c>
      <c r="L16" s="35">
        <f t="shared" si="3"/>
        <v>116680.38815900001</v>
      </c>
      <c r="M16" s="35">
        <f t="shared" si="3"/>
        <v>1212.3675610000003</v>
      </c>
      <c r="N16"/>
      <c r="P16" s="5">
        <f t="shared" si="4"/>
        <v>31000.2760375</v>
      </c>
      <c r="Q16" s="5">
        <f t="shared" si="5"/>
        <v>31000.2760375</v>
      </c>
      <c r="R16" s="35">
        <f t="shared" si="6"/>
        <v>24462.7337713</v>
      </c>
      <c r="S16" s="35">
        <f t="shared" si="7"/>
        <v>254.1800327</v>
      </c>
      <c r="T16"/>
      <c r="V16" s="5">
        <f t="shared" si="8"/>
        <v>4314.5120375</v>
      </c>
      <c r="W16" s="35">
        <f t="shared" si="9"/>
        <v>4314.5120375</v>
      </c>
      <c r="X16" s="35">
        <f t="shared" si="10"/>
        <v>3404.6393393</v>
      </c>
      <c r="Y16" s="35">
        <f t="shared" si="11"/>
        <v>35.3759047</v>
      </c>
      <c r="Z16" s="35"/>
      <c r="AB16" s="5">
        <f t="shared" si="12"/>
        <v>619.983</v>
      </c>
      <c r="AC16" s="5">
        <f t="shared" si="13"/>
        <v>619.983</v>
      </c>
      <c r="AD16" s="35">
        <f t="shared" si="14"/>
        <v>489.236904</v>
      </c>
      <c r="AE16" s="35">
        <f t="shared" si="15"/>
        <v>5.083416</v>
      </c>
      <c r="AF16"/>
      <c r="AH16" s="5">
        <f t="shared" si="16"/>
        <v>3648.4277375</v>
      </c>
      <c r="AI16" s="5">
        <f t="shared" si="17"/>
        <v>3648.4277375</v>
      </c>
      <c r="AJ16" s="35">
        <f t="shared" si="18"/>
        <v>2879.0232809</v>
      </c>
      <c r="AK16" s="35">
        <f t="shared" si="19"/>
        <v>29.9144911</v>
      </c>
      <c r="AL16"/>
      <c r="AN16" s="5">
        <f t="shared" si="20"/>
        <v>1621.0303374999999</v>
      </c>
      <c r="AO16" s="5">
        <f t="shared" si="21"/>
        <v>1621.0303374999999</v>
      </c>
      <c r="AP16" s="35">
        <f t="shared" si="22"/>
        <v>1279.1767897</v>
      </c>
      <c r="AQ16" s="35">
        <f t="shared" si="23"/>
        <v>13.2912863</v>
      </c>
      <c r="AR16"/>
      <c r="AT16" s="5">
        <f t="shared" si="24"/>
        <v>1030.5892625000001</v>
      </c>
      <c r="AU16" s="5">
        <f t="shared" si="25"/>
        <v>1030.5892625000001</v>
      </c>
      <c r="AV16" s="35">
        <f t="shared" si="26"/>
        <v>813.2518151</v>
      </c>
      <c r="AW16" s="35">
        <f t="shared" si="27"/>
        <v>8.4500929</v>
      </c>
      <c r="AX16"/>
      <c r="AZ16" s="5">
        <f t="shared" si="28"/>
        <v>2780.9814375</v>
      </c>
      <c r="BA16" s="5">
        <f t="shared" si="29"/>
        <v>2780.9814375</v>
      </c>
      <c r="BB16" s="35">
        <f t="shared" si="30"/>
        <v>2194.5097665</v>
      </c>
      <c r="BC16" s="35">
        <f t="shared" si="31"/>
        <v>22.8020535</v>
      </c>
      <c r="BD16"/>
      <c r="BF16" s="5">
        <f t="shared" si="32"/>
        <v>0.5298999999999999</v>
      </c>
      <c r="BG16" s="5">
        <f t="shared" si="33"/>
        <v>0.5298999999999999</v>
      </c>
      <c r="BH16" s="35">
        <f t="shared" si="34"/>
        <v>0.4181512</v>
      </c>
      <c r="BI16" s="35">
        <f t="shared" si="35"/>
        <v>0.0043448</v>
      </c>
      <c r="BJ16"/>
      <c r="BL16" s="5">
        <f t="shared" si="36"/>
        <v>1720.3865875</v>
      </c>
      <c r="BM16" s="35">
        <f t="shared" si="37"/>
        <v>1720.3865875</v>
      </c>
      <c r="BN16" s="35">
        <f t="shared" si="38"/>
        <v>1357.5801397</v>
      </c>
      <c r="BO16" s="35">
        <f t="shared" si="39"/>
        <v>14.1059363</v>
      </c>
      <c r="BP16"/>
      <c r="BR16" s="5">
        <f t="shared" si="40"/>
        <v>3166.7486375000003</v>
      </c>
      <c r="BS16" s="5">
        <f t="shared" si="41"/>
        <v>3166.7486375000003</v>
      </c>
      <c r="BT16" s="35">
        <f t="shared" si="42"/>
        <v>2498.9238401000002</v>
      </c>
      <c r="BU16" s="35">
        <f t="shared" si="43"/>
        <v>25.9650679</v>
      </c>
      <c r="BV16"/>
      <c r="BX16" s="5">
        <f t="shared" si="44"/>
        <v>8242.85945</v>
      </c>
      <c r="BY16" s="5">
        <f t="shared" si="45"/>
        <v>8242.85945</v>
      </c>
      <c r="BZ16" s="35">
        <f t="shared" si="46"/>
        <v>6504.5509916</v>
      </c>
      <c r="CA16" s="35">
        <f t="shared" si="47"/>
        <v>67.5855364</v>
      </c>
      <c r="CB16"/>
      <c r="CD16" s="5">
        <f t="shared" si="48"/>
        <v>838.5005124999999</v>
      </c>
      <c r="CE16" s="5">
        <f t="shared" si="49"/>
        <v>838.5005124999999</v>
      </c>
      <c r="CF16" s="35">
        <f t="shared" si="50"/>
        <v>661.6720051</v>
      </c>
      <c r="CG16" s="35">
        <f t="shared" si="51"/>
        <v>6.8751029</v>
      </c>
      <c r="CH16"/>
      <c r="CJ16" s="5">
        <f t="shared" si="52"/>
        <v>104.787725</v>
      </c>
      <c r="CK16" s="5">
        <f t="shared" si="53"/>
        <v>104.787725</v>
      </c>
      <c r="CL16" s="35">
        <f t="shared" si="54"/>
        <v>82.6893998</v>
      </c>
      <c r="CM16" s="35">
        <f t="shared" si="55"/>
        <v>0.8591842</v>
      </c>
      <c r="CN16"/>
      <c r="CP16" s="5">
        <f t="shared" si="56"/>
        <v>94.65338750000001</v>
      </c>
      <c r="CQ16" s="5">
        <f t="shared" si="57"/>
        <v>94.65338750000001</v>
      </c>
      <c r="CR16" s="35">
        <f t="shared" si="58"/>
        <v>74.6922581</v>
      </c>
      <c r="CS16" s="35">
        <f t="shared" si="59"/>
        <v>0.7760899</v>
      </c>
      <c r="CT16"/>
      <c r="CV16" s="5">
        <f t="shared" si="60"/>
        <v>2353.4846125</v>
      </c>
      <c r="CW16" s="5">
        <f t="shared" si="61"/>
        <v>2353.4846125</v>
      </c>
      <c r="CX16" s="35">
        <f t="shared" si="62"/>
        <v>1857.1662859</v>
      </c>
      <c r="CY16" s="35">
        <f t="shared" si="63"/>
        <v>19.296886100000002</v>
      </c>
      <c r="CZ16"/>
      <c r="DB16" s="5">
        <f t="shared" si="64"/>
        <v>182.683025</v>
      </c>
      <c r="DC16" s="5">
        <f t="shared" si="65"/>
        <v>182.683025</v>
      </c>
      <c r="DD16" s="35">
        <f t="shared" si="66"/>
        <v>144.15762619999998</v>
      </c>
      <c r="DE16" s="35">
        <f t="shared" si="67"/>
        <v>1.4978698</v>
      </c>
      <c r="DF16"/>
      <c r="DH16" s="5">
        <f t="shared" si="68"/>
        <v>1444.9710624999998</v>
      </c>
      <c r="DI16" s="35">
        <f t="shared" si="69"/>
        <v>1444.9710624999998</v>
      </c>
      <c r="DJ16" s="35">
        <f t="shared" si="70"/>
        <v>1140.2460535</v>
      </c>
      <c r="DK16" s="35">
        <f t="shared" si="71"/>
        <v>11.847726499999998</v>
      </c>
      <c r="DN16" s="5">
        <f t="shared" si="72"/>
        <v>7461.0582375</v>
      </c>
      <c r="DO16" s="5">
        <f t="shared" si="73"/>
        <v>7461.0582375</v>
      </c>
      <c r="DP16" s="35">
        <f t="shared" si="74"/>
        <v>5887.621164900001</v>
      </c>
      <c r="DQ16" s="35">
        <f t="shared" si="75"/>
        <v>61.175327100000004</v>
      </c>
      <c r="DT16" s="5">
        <f t="shared" si="76"/>
        <v>591.9645375</v>
      </c>
      <c r="DU16" s="5">
        <f t="shared" si="77"/>
        <v>591.9645375</v>
      </c>
      <c r="DV16" s="35">
        <f t="shared" si="78"/>
        <v>467.1271593</v>
      </c>
      <c r="DW16" s="35">
        <f t="shared" si="79"/>
        <v>4.8536847</v>
      </c>
      <c r="DZ16" s="5">
        <f t="shared" si="80"/>
        <v>1607.1867</v>
      </c>
      <c r="EA16" s="5">
        <f t="shared" si="81"/>
        <v>1607.1867</v>
      </c>
      <c r="EB16" s="35">
        <f t="shared" si="82"/>
        <v>1268.2525896</v>
      </c>
      <c r="EC16" s="35">
        <f t="shared" si="83"/>
        <v>13.1777784</v>
      </c>
      <c r="EF16" s="5">
        <f t="shared" si="84"/>
        <v>1802.1899</v>
      </c>
      <c r="EG16" s="35">
        <f t="shared" si="85"/>
        <v>1802.1899</v>
      </c>
      <c r="EH16" s="35">
        <f t="shared" si="86"/>
        <v>1422.1322312000002</v>
      </c>
      <c r="EI16" s="35">
        <f t="shared" si="87"/>
        <v>14.7766648</v>
      </c>
      <c r="EL16" s="5">
        <f t="shared" si="88"/>
        <v>4540.9118124999995</v>
      </c>
      <c r="EM16" s="35">
        <f t="shared" si="89"/>
        <v>4540.9118124999995</v>
      </c>
      <c r="EN16" s="35">
        <f t="shared" si="90"/>
        <v>3583.2944395</v>
      </c>
      <c r="EO16" s="35">
        <f t="shared" si="91"/>
        <v>37.2322205</v>
      </c>
      <c r="ER16" s="5">
        <f t="shared" si="92"/>
        <v>6976.5971625</v>
      </c>
      <c r="ES16" s="35">
        <f t="shared" si="93"/>
        <v>6976.5971625</v>
      </c>
      <c r="ET16" s="35">
        <f t="shared" si="94"/>
        <v>5505.3264303000005</v>
      </c>
      <c r="EU16" s="35">
        <f t="shared" si="95"/>
        <v>57.203093700000004</v>
      </c>
      <c r="EX16" s="5">
        <f t="shared" si="96"/>
        <v>33072.3175125</v>
      </c>
      <c r="EY16" s="5">
        <f t="shared" si="97"/>
        <v>33072.3175125</v>
      </c>
      <c r="EZ16" s="35">
        <f t="shared" si="98"/>
        <v>26097.8095011</v>
      </c>
      <c r="FA16" s="35">
        <f t="shared" si="99"/>
        <v>271.1692869</v>
      </c>
      <c r="FD16" s="5">
        <f t="shared" si="100"/>
        <v>27975.143174999997</v>
      </c>
      <c r="FE16" s="5">
        <f t="shared" si="101"/>
        <v>27975.143174999997</v>
      </c>
      <c r="FF16" s="35">
        <f t="shared" si="102"/>
        <v>22075.560839399997</v>
      </c>
      <c r="FG16" s="35">
        <f t="shared" si="103"/>
        <v>229.37611259999997</v>
      </c>
      <c r="FJ16" s="5">
        <f t="shared" si="104"/>
        <v>175.529375</v>
      </c>
      <c r="FK16" s="5">
        <f t="shared" si="105"/>
        <v>175.529375</v>
      </c>
      <c r="FL16" s="35">
        <f t="shared" si="106"/>
        <v>138.512585</v>
      </c>
      <c r="FM16" s="35">
        <f t="shared" si="107"/>
        <v>1.439215</v>
      </c>
      <c r="FP16" s="5">
        <f t="shared" si="108"/>
        <v>494.3304625</v>
      </c>
      <c r="FQ16" s="5">
        <f t="shared" si="109"/>
        <v>494.3304625</v>
      </c>
      <c r="FR16" s="35">
        <f t="shared" si="110"/>
        <v>390.0828007</v>
      </c>
      <c r="FS16" s="35">
        <f t="shared" si="111"/>
        <v>4.0531553</v>
      </c>
    </row>
    <row r="17" spans="1:175" ht="12.75">
      <c r="A17" s="36">
        <v>46478</v>
      </c>
      <c r="C17" s="77">
        <f>'2019C'!C17</f>
        <v>6160000</v>
      </c>
      <c r="D17" s="77">
        <f>'2019C'!D17</f>
        <v>662375</v>
      </c>
      <c r="E17" s="34">
        <f t="shared" si="0"/>
        <v>6822375</v>
      </c>
      <c r="F17" s="77">
        <f>'2019C'!F17</f>
        <v>522689</v>
      </c>
      <c r="G17" s="77">
        <f>'2019C'!G17</f>
        <v>5431</v>
      </c>
      <c r="I17" s="46">
        <f>O17+U17+AG17+AM17+AS17+AA17+AY17+BE17+BK17+BQ17+BW17+CC17+CI17+CO17+CU17+DA17+DG17+DM17+DS17+DY17+EE17+EK17+EQ17+EW17+FC17+FI17+FO17</f>
        <v>1375102.96</v>
      </c>
      <c r="J17" s="35">
        <f t="shared" si="1"/>
        <v>147862.633625</v>
      </c>
      <c r="K17" s="35">
        <f t="shared" si="2"/>
        <v>1522965.593625</v>
      </c>
      <c r="L17" s="35">
        <f t="shared" si="3"/>
        <v>116680.38815900001</v>
      </c>
      <c r="M17" s="35">
        <f t="shared" si="3"/>
        <v>1212.3675610000003</v>
      </c>
      <c r="N17"/>
      <c r="O17" s="5">
        <f t="shared" si="112"/>
        <v>288298.472</v>
      </c>
      <c r="P17" s="5">
        <f t="shared" si="4"/>
        <v>31000.2760375</v>
      </c>
      <c r="Q17" s="5">
        <f t="shared" si="5"/>
        <v>319298.7480375</v>
      </c>
      <c r="R17" s="35">
        <f t="shared" si="6"/>
        <v>24462.7337713</v>
      </c>
      <c r="S17" s="35">
        <f t="shared" si="7"/>
        <v>254.1800327</v>
      </c>
      <c r="T17"/>
      <c r="U17" s="5">
        <f t="shared" si="113"/>
        <v>40124.392</v>
      </c>
      <c r="V17" s="5">
        <f t="shared" si="8"/>
        <v>4314.5120375</v>
      </c>
      <c r="W17" s="35">
        <f t="shared" si="9"/>
        <v>44438.9040375</v>
      </c>
      <c r="X17" s="35">
        <f t="shared" si="10"/>
        <v>3404.6393393</v>
      </c>
      <c r="Y17" s="35">
        <f t="shared" si="11"/>
        <v>35.3759047</v>
      </c>
      <c r="Z17" s="35"/>
      <c r="AA17" s="5">
        <f t="shared" si="114"/>
        <v>5765.76</v>
      </c>
      <c r="AB17" s="5">
        <f t="shared" si="12"/>
        <v>619.983</v>
      </c>
      <c r="AC17" s="5">
        <f t="shared" si="13"/>
        <v>6385.743</v>
      </c>
      <c r="AD17" s="35">
        <f t="shared" si="14"/>
        <v>489.236904</v>
      </c>
      <c r="AE17" s="35">
        <f t="shared" si="15"/>
        <v>5.083416</v>
      </c>
      <c r="AF17"/>
      <c r="AG17" s="5">
        <f t="shared" si="115"/>
        <v>33929.896</v>
      </c>
      <c r="AH17" s="5">
        <f t="shared" si="16"/>
        <v>3648.4277375</v>
      </c>
      <c r="AI17" s="5">
        <f t="shared" si="17"/>
        <v>37578.3237375</v>
      </c>
      <c r="AJ17" s="35">
        <f t="shared" si="18"/>
        <v>2879.0232809</v>
      </c>
      <c r="AK17" s="35">
        <f t="shared" si="19"/>
        <v>29.9144911</v>
      </c>
      <c r="AL17"/>
      <c r="AM17" s="5">
        <f t="shared" si="116"/>
        <v>15075.367999999999</v>
      </c>
      <c r="AN17" s="5">
        <f t="shared" si="20"/>
        <v>1621.0303374999999</v>
      </c>
      <c r="AO17" s="5">
        <f t="shared" si="21"/>
        <v>16696.3983375</v>
      </c>
      <c r="AP17" s="35">
        <f t="shared" si="22"/>
        <v>1279.1767897</v>
      </c>
      <c r="AQ17" s="35">
        <f t="shared" si="23"/>
        <v>13.2912863</v>
      </c>
      <c r="AR17"/>
      <c r="AS17" s="5">
        <f t="shared" si="117"/>
        <v>9584.344000000001</v>
      </c>
      <c r="AT17" s="5">
        <f t="shared" si="24"/>
        <v>1030.5892625000001</v>
      </c>
      <c r="AU17" s="5">
        <f t="shared" si="25"/>
        <v>10614.9332625</v>
      </c>
      <c r="AV17" s="35">
        <f t="shared" si="26"/>
        <v>813.2518151</v>
      </c>
      <c r="AW17" s="35">
        <f t="shared" si="27"/>
        <v>8.4500929</v>
      </c>
      <c r="AX17"/>
      <c r="AY17" s="5">
        <f t="shared" si="118"/>
        <v>25862.76</v>
      </c>
      <c r="AZ17" s="5">
        <f t="shared" si="28"/>
        <v>2780.9814375</v>
      </c>
      <c r="BA17" s="5">
        <f t="shared" si="29"/>
        <v>28643.741437499997</v>
      </c>
      <c r="BB17" s="35">
        <f t="shared" si="30"/>
        <v>2194.5097665</v>
      </c>
      <c r="BC17" s="35">
        <f t="shared" si="31"/>
        <v>22.8020535</v>
      </c>
      <c r="BD17"/>
      <c r="BE17" s="5">
        <f t="shared" si="119"/>
        <v>4.928</v>
      </c>
      <c r="BF17" s="5">
        <f t="shared" si="32"/>
        <v>0.5298999999999999</v>
      </c>
      <c r="BG17" s="5">
        <f t="shared" si="33"/>
        <v>5.4578999999999995</v>
      </c>
      <c r="BH17" s="35">
        <f t="shared" si="34"/>
        <v>0.4181512</v>
      </c>
      <c r="BI17" s="35">
        <f t="shared" si="35"/>
        <v>0.0043448</v>
      </c>
      <c r="BJ17"/>
      <c r="BK17" s="5">
        <f t="shared" si="120"/>
        <v>15999.367999999999</v>
      </c>
      <c r="BL17" s="5">
        <f t="shared" si="36"/>
        <v>1720.3865875</v>
      </c>
      <c r="BM17" s="35">
        <f t="shared" si="37"/>
        <v>17719.7545875</v>
      </c>
      <c r="BN17" s="35">
        <f t="shared" si="38"/>
        <v>1357.5801397</v>
      </c>
      <c r="BO17" s="35">
        <f t="shared" si="39"/>
        <v>14.1059363</v>
      </c>
      <c r="BP17"/>
      <c r="BQ17" s="5">
        <f t="shared" si="121"/>
        <v>29450.344</v>
      </c>
      <c r="BR17" s="5">
        <f t="shared" si="40"/>
        <v>3166.7486375000003</v>
      </c>
      <c r="BS17" s="5">
        <f t="shared" si="41"/>
        <v>32617.0926375</v>
      </c>
      <c r="BT17" s="35">
        <f t="shared" si="42"/>
        <v>2498.9238401000002</v>
      </c>
      <c r="BU17" s="35">
        <f t="shared" si="43"/>
        <v>25.9650679</v>
      </c>
      <c r="BV17"/>
      <c r="BW17" s="5">
        <f t="shared" si="122"/>
        <v>76657.504</v>
      </c>
      <c r="BX17" s="5">
        <f t="shared" si="44"/>
        <v>8242.85945</v>
      </c>
      <c r="BY17" s="5">
        <f t="shared" si="45"/>
        <v>84900.36345</v>
      </c>
      <c r="BZ17" s="35">
        <f t="shared" si="46"/>
        <v>6504.5509916</v>
      </c>
      <c r="CA17" s="35">
        <f t="shared" si="47"/>
        <v>67.5855364</v>
      </c>
      <c r="CB17"/>
      <c r="CC17" s="5">
        <f t="shared" si="123"/>
        <v>7797.9439999999995</v>
      </c>
      <c r="CD17" s="5">
        <f t="shared" si="48"/>
        <v>838.5005124999999</v>
      </c>
      <c r="CE17" s="5">
        <f t="shared" si="49"/>
        <v>8636.4445125</v>
      </c>
      <c r="CF17" s="35">
        <f t="shared" si="50"/>
        <v>661.6720051</v>
      </c>
      <c r="CG17" s="35">
        <f t="shared" si="51"/>
        <v>6.8751029</v>
      </c>
      <c r="CH17"/>
      <c r="CI17" s="5">
        <f t="shared" si="124"/>
        <v>974.512</v>
      </c>
      <c r="CJ17" s="5">
        <f t="shared" si="52"/>
        <v>104.787725</v>
      </c>
      <c r="CK17" s="5">
        <f t="shared" si="53"/>
        <v>1079.2997249999999</v>
      </c>
      <c r="CL17" s="35">
        <f t="shared" si="54"/>
        <v>82.6893998</v>
      </c>
      <c r="CM17" s="35">
        <f t="shared" si="55"/>
        <v>0.8591842</v>
      </c>
      <c r="CN17"/>
      <c r="CO17" s="5">
        <f t="shared" si="125"/>
        <v>880.264</v>
      </c>
      <c r="CP17" s="5">
        <f t="shared" si="56"/>
        <v>94.65338750000001</v>
      </c>
      <c r="CQ17" s="5">
        <f t="shared" si="57"/>
        <v>974.9173875</v>
      </c>
      <c r="CR17" s="35">
        <f t="shared" si="58"/>
        <v>74.6922581</v>
      </c>
      <c r="CS17" s="35">
        <f t="shared" si="59"/>
        <v>0.7760899</v>
      </c>
      <c r="CT17"/>
      <c r="CU17" s="5">
        <f t="shared" si="126"/>
        <v>21887.096</v>
      </c>
      <c r="CV17" s="5">
        <f t="shared" si="60"/>
        <v>2353.4846125</v>
      </c>
      <c r="CW17" s="5">
        <f t="shared" si="61"/>
        <v>24240.5806125</v>
      </c>
      <c r="CX17" s="35">
        <f t="shared" si="62"/>
        <v>1857.1662859</v>
      </c>
      <c r="CY17" s="35">
        <f t="shared" si="63"/>
        <v>19.296886100000002</v>
      </c>
      <c r="CZ17"/>
      <c r="DA17" s="5">
        <f t="shared" si="127"/>
        <v>1698.9279999999999</v>
      </c>
      <c r="DB17" s="5">
        <f t="shared" si="64"/>
        <v>182.683025</v>
      </c>
      <c r="DC17" s="5">
        <f t="shared" si="65"/>
        <v>1881.611025</v>
      </c>
      <c r="DD17" s="35">
        <f t="shared" si="66"/>
        <v>144.15762619999998</v>
      </c>
      <c r="DE17" s="35">
        <f t="shared" si="67"/>
        <v>1.4978698</v>
      </c>
      <c r="DF17"/>
      <c r="DG17" s="5">
        <f t="shared" si="128"/>
        <v>13438.039999999999</v>
      </c>
      <c r="DH17" s="5">
        <f t="shared" si="68"/>
        <v>1444.9710624999998</v>
      </c>
      <c r="DI17" s="35">
        <f t="shared" si="69"/>
        <v>14883.011062499998</v>
      </c>
      <c r="DJ17" s="35">
        <f t="shared" si="70"/>
        <v>1140.2460535</v>
      </c>
      <c r="DK17" s="35">
        <f t="shared" si="71"/>
        <v>11.847726499999998</v>
      </c>
      <c r="DM17" s="5">
        <f t="shared" si="129"/>
        <v>69386.856</v>
      </c>
      <c r="DN17" s="5">
        <f t="shared" si="72"/>
        <v>7461.0582375</v>
      </c>
      <c r="DO17" s="5">
        <f t="shared" si="73"/>
        <v>76847.9142375</v>
      </c>
      <c r="DP17" s="35">
        <f t="shared" si="74"/>
        <v>5887.621164900001</v>
      </c>
      <c r="DQ17" s="35">
        <f t="shared" si="75"/>
        <v>61.175327100000004</v>
      </c>
      <c r="DS17" s="5">
        <f t="shared" si="130"/>
        <v>5505.192</v>
      </c>
      <c r="DT17" s="5">
        <f t="shared" si="76"/>
        <v>591.9645375</v>
      </c>
      <c r="DU17" s="5">
        <f t="shared" si="77"/>
        <v>6097.1565375</v>
      </c>
      <c r="DV17" s="35">
        <f t="shared" si="78"/>
        <v>467.1271593</v>
      </c>
      <c r="DW17" s="35">
        <f t="shared" si="79"/>
        <v>4.8536847</v>
      </c>
      <c r="DY17" s="5">
        <f t="shared" si="131"/>
        <v>14946.624</v>
      </c>
      <c r="DZ17" s="5">
        <f t="shared" si="80"/>
        <v>1607.1867</v>
      </c>
      <c r="EA17" s="5">
        <f t="shared" si="81"/>
        <v>16553.810699999998</v>
      </c>
      <c r="EB17" s="35">
        <f t="shared" si="82"/>
        <v>1268.2525896</v>
      </c>
      <c r="EC17" s="35">
        <f t="shared" si="83"/>
        <v>13.1777784</v>
      </c>
      <c r="EE17" s="5">
        <f t="shared" si="132"/>
        <v>16760.128</v>
      </c>
      <c r="EF17" s="5">
        <f t="shared" si="84"/>
        <v>1802.1899</v>
      </c>
      <c r="EG17" s="35">
        <f t="shared" si="85"/>
        <v>18562.317900000002</v>
      </c>
      <c r="EH17" s="35">
        <f t="shared" si="86"/>
        <v>1422.1322312000002</v>
      </c>
      <c r="EI17" s="35">
        <f t="shared" si="87"/>
        <v>14.7766648</v>
      </c>
      <c r="EK17" s="5">
        <f t="shared" si="133"/>
        <v>42229.88</v>
      </c>
      <c r="EL17" s="5">
        <f t="shared" si="88"/>
        <v>4540.9118124999995</v>
      </c>
      <c r="EM17" s="35">
        <f t="shared" si="89"/>
        <v>46770.7918125</v>
      </c>
      <c r="EN17" s="35">
        <f t="shared" si="90"/>
        <v>3583.2944395</v>
      </c>
      <c r="EO17" s="35">
        <f t="shared" si="91"/>
        <v>37.2322205</v>
      </c>
      <c r="EQ17" s="5">
        <f t="shared" si="134"/>
        <v>64881.43200000001</v>
      </c>
      <c r="ER17" s="5">
        <f t="shared" si="92"/>
        <v>6976.5971625</v>
      </c>
      <c r="ES17" s="35">
        <f t="shared" si="93"/>
        <v>71858.02916250001</v>
      </c>
      <c r="ET17" s="35">
        <f t="shared" si="94"/>
        <v>5505.3264303000005</v>
      </c>
      <c r="EU17" s="35">
        <f t="shared" si="95"/>
        <v>57.203093700000004</v>
      </c>
      <c r="EW17" s="5">
        <f t="shared" si="135"/>
        <v>307568.184</v>
      </c>
      <c r="EX17" s="5">
        <f t="shared" si="96"/>
        <v>33072.3175125</v>
      </c>
      <c r="EY17" s="5">
        <f t="shared" si="97"/>
        <v>340640.5015125</v>
      </c>
      <c r="EZ17" s="35">
        <f t="shared" si="98"/>
        <v>26097.8095011</v>
      </c>
      <c r="FA17" s="35">
        <f t="shared" si="99"/>
        <v>271.1692869</v>
      </c>
      <c r="FC17" s="5">
        <f t="shared" si="136"/>
        <v>260165.13599999997</v>
      </c>
      <c r="FD17" s="5">
        <f t="shared" si="100"/>
        <v>27975.143174999997</v>
      </c>
      <c r="FE17" s="5">
        <f t="shared" si="101"/>
        <v>288140.279175</v>
      </c>
      <c r="FF17" s="35">
        <f t="shared" si="102"/>
        <v>22075.560839399997</v>
      </c>
      <c r="FG17" s="35">
        <f t="shared" si="103"/>
        <v>229.37611259999997</v>
      </c>
      <c r="FI17" s="5">
        <f t="shared" si="137"/>
        <v>1632.3999999999999</v>
      </c>
      <c r="FJ17" s="5">
        <f t="shared" si="104"/>
        <v>175.529375</v>
      </c>
      <c r="FK17" s="5">
        <f t="shared" si="105"/>
        <v>1807.929375</v>
      </c>
      <c r="FL17" s="35">
        <f t="shared" si="106"/>
        <v>138.512585</v>
      </c>
      <c r="FM17" s="35">
        <f t="shared" si="107"/>
        <v>1.439215</v>
      </c>
      <c r="FO17" s="5">
        <f t="shared" si="138"/>
        <v>4597.208</v>
      </c>
      <c r="FP17" s="5">
        <f t="shared" si="108"/>
        <v>494.3304625</v>
      </c>
      <c r="FQ17" s="5">
        <f t="shared" si="109"/>
        <v>5091.5384625</v>
      </c>
      <c r="FR17" s="35">
        <f t="shared" si="110"/>
        <v>390.0828007</v>
      </c>
      <c r="FS17" s="35">
        <f t="shared" si="111"/>
        <v>4.0531553</v>
      </c>
    </row>
    <row r="18" spans="1:175" ht="12.75">
      <c r="A18" s="36">
        <v>46661</v>
      </c>
      <c r="C18" s="77">
        <f>'2019C'!C18</f>
        <v>0</v>
      </c>
      <c r="D18" s="77">
        <f>'2019C'!D18</f>
        <v>508375</v>
      </c>
      <c r="E18" s="34">
        <f t="shared" si="0"/>
        <v>508375</v>
      </c>
      <c r="F18" s="77">
        <f>'2019C'!F18</f>
        <v>522689</v>
      </c>
      <c r="G18" s="77">
        <f>'2019C'!G18</f>
        <v>5431</v>
      </c>
      <c r="I18" s="46"/>
      <c r="J18" s="35">
        <f t="shared" si="1"/>
        <v>113485.05962500001</v>
      </c>
      <c r="K18" s="35">
        <f t="shared" si="2"/>
        <v>113485.05962500001</v>
      </c>
      <c r="L18" s="35">
        <f t="shared" si="3"/>
        <v>116680.38815900001</v>
      </c>
      <c r="M18" s="35">
        <f t="shared" si="3"/>
        <v>1212.3675610000003</v>
      </c>
      <c r="N18"/>
      <c r="P18" s="5">
        <f t="shared" si="4"/>
        <v>23792.814237500002</v>
      </c>
      <c r="Q18" s="5">
        <f t="shared" si="5"/>
        <v>23792.814237500002</v>
      </c>
      <c r="R18" s="35">
        <f t="shared" si="6"/>
        <v>24462.7337713</v>
      </c>
      <c r="S18" s="35">
        <f t="shared" si="7"/>
        <v>254.1800327</v>
      </c>
      <c r="T18"/>
      <c r="V18" s="5">
        <f t="shared" si="8"/>
        <v>3311.4022375</v>
      </c>
      <c r="W18" s="35">
        <f t="shared" si="9"/>
        <v>3311.4022375</v>
      </c>
      <c r="X18" s="35">
        <f t="shared" si="10"/>
        <v>3404.6393393</v>
      </c>
      <c r="Y18" s="35">
        <f t="shared" si="11"/>
        <v>35.3759047</v>
      </c>
      <c r="Z18" s="35"/>
      <c r="AB18" s="5">
        <f t="shared" si="12"/>
        <v>475.839</v>
      </c>
      <c r="AC18" s="5">
        <f t="shared" si="13"/>
        <v>475.839</v>
      </c>
      <c r="AD18" s="35">
        <f t="shared" si="14"/>
        <v>489.236904</v>
      </c>
      <c r="AE18" s="35">
        <f t="shared" si="15"/>
        <v>5.083416</v>
      </c>
      <c r="AF18"/>
      <c r="AH18" s="5">
        <f t="shared" si="16"/>
        <v>2800.1803375</v>
      </c>
      <c r="AI18" s="5">
        <f t="shared" si="17"/>
        <v>2800.1803375</v>
      </c>
      <c r="AJ18" s="35">
        <f t="shared" si="18"/>
        <v>2879.0232809</v>
      </c>
      <c r="AK18" s="35">
        <f t="shared" si="19"/>
        <v>29.9144911</v>
      </c>
      <c r="AL18"/>
      <c r="AN18" s="5">
        <f t="shared" si="20"/>
        <v>1244.1461375</v>
      </c>
      <c r="AO18" s="5">
        <f t="shared" si="21"/>
        <v>1244.1461375</v>
      </c>
      <c r="AP18" s="35">
        <f t="shared" si="22"/>
        <v>1279.1767897</v>
      </c>
      <c r="AQ18" s="35">
        <f t="shared" si="23"/>
        <v>13.2912863</v>
      </c>
      <c r="AR18"/>
      <c r="AT18" s="5">
        <f t="shared" si="24"/>
        <v>790.9806625</v>
      </c>
      <c r="AU18" s="5">
        <f t="shared" si="25"/>
        <v>790.9806625</v>
      </c>
      <c r="AV18" s="35">
        <f t="shared" si="26"/>
        <v>813.2518151</v>
      </c>
      <c r="AW18" s="35">
        <f t="shared" si="27"/>
        <v>8.4500929</v>
      </c>
      <c r="AX18"/>
      <c r="AZ18" s="5">
        <f t="shared" si="28"/>
        <v>2134.4124375</v>
      </c>
      <c r="BA18" s="5">
        <f t="shared" si="29"/>
        <v>2134.4124375</v>
      </c>
      <c r="BB18" s="35">
        <f t="shared" si="30"/>
        <v>2194.5097665</v>
      </c>
      <c r="BC18" s="35">
        <f t="shared" si="31"/>
        <v>22.8020535</v>
      </c>
      <c r="BD18"/>
      <c r="BF18" s="5">
        <f t="shared" si="32"/>
        <v>0.4067</v>
      </c>
      <c r="BG18" s="5">
        <f t="shared" si="33"/>
        <v>0.4067</v>
      </c>
      <c r="BH18" s="35">
        <f t="shared" si="34"/>
        <v>0.4181512</v>
      </c>
      <c r="BI18" s="35">
        <f t="shared" si="35"/>
        <v>0.0043448</v>
      </c>
      <c r="BJ18"/>
      <c r="BL18" s="5">
        <f t="shared" si="36"/>
        <v>1320.4023875</v>
      </c>
      <c r="BM18" s="35">
        <f t="shared" si="37"/>
        <v>1320.4023875</v>
      </c>
      <c r="BN18" s="35">
        <f t="shared" si="38"/>
        <v>1357.5801397</v>
      </c>
      <c r="BO18" s="35">
        <f t="shared" si="39"/>
        <v>14.1059363</v>
      </c>
      <c r="BP18"/>
      <c r="BR18" s="5">
        <f t="shared" si="40"/>
        <v>2430.4900375</v>
      </c>
      <c r="BS18" s="5">
        <f t="shared" si="41"/>
        <v>2430.4900375</v>
      </c>
      <c r="BT18" s="35">
        <f t="shared" si="42"/>
        <v>2498.9238401000002</v>
      </c>
      <c r="BU18" s="35">
        <f t="shared" si="43"/>
        <v>25.9650679</v>
      </c>
      <c r="BV18"/>
      <c r="BX18" s="5">
        <f t="shared" si="44"/>
        <v>6326.42185</v>
      </c>
      <c r="BY18" s="5">
        <f t="shared" si="45"/>
        <v>6326.42185</v>
      </c>
      <c r="BZ18" s="35">
        <f t="shared" si="46"/>
        <v>6504.5509916</v>
      </c>
      <c r="CA18" s="35">
        <f t="shared" si="47"/>
        <v>67.5855364</v>
      </c>
      <c r="CB18"/>
      <c r="CD18" s="5">
        <f t="shared" si="48"/>
        <v>643.5519125</v>
      </c>
      <c r="CE18" s="5">
        <f t="shared" si="49"/>
        <v>643.5519125</v>
      </c>
      <c r="CF18" s="35">
        <f t="shared" si="50"/>
        <v>661.6720051</v>
      </c>
      <c r="CG18" s="35">
        <f t="shared" si="51"/>
        <v>6.8751029</v>
      </c>
      <c r="CH18"/>
      <c r="CJ18" s="5">
        <f t="shared" si="52"/>
        <v>80.424925</v>
      </c>
      <c r="CK18" s="5">
        <f t="shared" si="53"/>
        <v>80.424925</v>
      </c>
      <c r="CL18" s="35">
        <f t="shared" si="54"/>
        <v>82.6893998</v>
      </c>
      <c r="CM18" s="35">
        <f t="shared" si="55"/>
        <v>0.8591842</v>
      </c>
      <c r="CN18"/>
      <c r="CP18" s="5">
        <f t="shared" si="56"/>
        <v>72.6467875</v>
      </c>
      <c r="CQ18" s="5">
        <f t="shared" si="57"/>
        <v>72.6467875</v>
      </c>
      <c r="CR18" s="35">
        <f t="shared" si="58"/>
        <v>74.6922581</v>
      </c>
      <c r="CS18" s="35">
        <f t="shared" si="59"/>
        <v>0.7760899</v>
      </c>
      <c r="CT18"/>
      <c r="CV18" s="5">
        <f t="shared" si="60"/>
        <v>1806.3072125</v>
      </c>
      <c r="CW18" s="5">
        <f t="shared" si="61"/>
        <v>1806.3072125</v>
      </c>
      <c r="CX18" s="35">
        <f t="shared" si="62"/>
        <v>1857.1662859</v>
      </c>
      <c r="CY18" s="35">
        <f t="shared" si="63"/>
        <v>19.296886100000002</v>
      </c>
      <c r="CZ18"/>
      <c r="DB18" s="5">
        <f t="shared" si="64"/>
        <v>140.209825</v>
      </c>
      <c r="DC18" s="5">
        <f t="shared" si="65"/>
        <v>140.209825</v>
      </c>
      <c r="DD18" s="35">
        <f t="shared" si="66"/>
        <v>144.15762619999998</v>
      </c>
      <c r="DE18" s="35">
        <f t="shared" si="67"/>
        <v>1.4978698</v>
      </c>
      <c r="DF18"/>
      <c r="DH18" s="5">
        <f t="shared" si="68"/>
        <v>1109.0200625</v>
      </c>
      <c r="DI18" s="35">
        <f t="shared" si="69"/>
        <v>1109.0200625</v>
      </c>
      <c r="DJ18" s="35">
        <f t="shared" si="70"/>
        <v>1140.2460535</v>
      </c>
      <c r="DK18" s="35">
        <f t="shared" si="71"/>
        <v>11.847726499999998</v>
      </c>
      <c r="DN18" s="5">
        <f t="shared" si="72"/>
        <v>5726.3868375</v>
      </c>
      <c r="DO18" s="5">
        <f t="shared" si="73"/>
        <v>5726.3868375</v>
      </c>
      <c r="DP18" s="35">
        <f t="shared" si="74"/>
        <v>5887.621164900001</v>
      </c>
      <c r="DQ18" s="35">
        <f t="shared" si="75"/>
        <v>61.175327100000004</v>
      </c>
      <c r="DT18" s="5">
        <f t="shared" si="76"/>
        <v>454.3347375</v>
      </c>
      <c r="DU18" s="5">
        <f t="shared" si="77"/>
        <v>454.3347375</v>
      </c>
      <c r="DV18" s="35">
        <f t="shared" si="78"/>
        <v>467.1271593</v>
      </c>
      <c r="DW18" s="35">
        <f t="shared" si="79"/>
        <v>4.8536847</v>
      </c>
      <c r="DZ18" s="5">
        <f t="shared" si="80"/>
        <v>1233.5211</v>
      </c>
      <c r="EA18" s="5">
        <f t="shared" si="81"/>
        <v>1233.5211</v>
      </c>
      <c r="EB18" s="35">
        <f t="shared" si="82"/>
        <v>1268.2525896</v>
      </c>
      <c r="EC18" s="35">
        <f t="shared" si="83"/>
        <v>13.1777784</v>
      </c>
      <c r="EF18" s="5">
        <f t="shared" si="84"/>
        <v>1383.1867000000002</v>
      </c>
      <c r="EG18" s="35">
        <f t="shared" si="85"/>
        <v>1383.1867000000002</v>
      </c>
      <c r="EH18" s="35">
        <f t="shared" si="86"/>
        <v>1422.1322312000002</v>
      </c>
      <c r="EI18" s="35">
        <f t="shared" si="87"/>
        <v>14.7766648</v>
      </c>
      <c r="EL18" s="5">
        <f t="shared" si="88"/>
        <v>3485.1648124999997</v>
      </c>
      <c r="EM18" s="35">
        <f t="shared" si="89"/>
        <v>3485.1648124999997</v>
      </c>
      <c r="EN18" s="35">
        <f t="shared" si="90"/>
        <v>3583.2944395</v>
      </c>
      <c r="EO18" s="35">
        <f t="shared" si="91"/>
        <v>37.2322205</v>
      </c>
      <c r="ER18" s="5">
        <f t="shared" si="92"/>
        <v>5354.5613625000005</v>
      </c>
      <c r="ES18" s="35">
        <f t="shared" si="93"/>
        <v>5354.5613625000005</v>
      </c>
      <c r="ET18" s="35">
        <f t="shared" si="94"/>
        <v>5505.3264303000005</v>
      </c>
      <c r="EU18" s="35">
        <f t="shared" si="95"/>
        <v>57.203093700000004</v>
      </c>
      <c r="EX18" s="5">
        <f t="shared" si="96"/>
        <v>25383.1129125</v>
      </c>
      <c r="EY18" s="5">
        <f t="shared" si="97"/>
        <v>25383.1129125</v>
      </c>
      <c r="EZ18" s="35">
        <f t="shared" si="98"/>
        <v>26097.8095011</v>
      </c>
      <c r="FA18" s="35">
        <f t="shared" si="99"/>
        <v>271.1692869</v>
      </c>
      <c r="FD18" s="5">
        <f t="shared" si="100"/>
        <v>21471.014775</v>
      </c>
      <c r="FE18" s="5">
        <f t="shared" si="101"/>
        <v>21471.014775</v>
      </c>
      <c r="FF18" s="35">
        <f t="shared" si="102"/>
        <v>22075.560839399997</v>
      </c>
      <c r="FG18" s="35">
        <f t="shared" si="103"/>
        <v>229.37611259999997</v>
      </c>
      <c r="FJ18" s="5">
        <f t="shared" si="104"/>
        <v>134.71937499999999</v>
      </c>
      <c r="FK18" s="5">
        <f t="shared" si="105"/>
        <v>134.71937499999999</v>
      </c>
      <c r="FL18" s="35">
        <f t="shared" si="106"/>
        <v>138.512585</v>
      </c>
      <c r="FM18" s="35">
        <f t="shared" si="107"/>
        <v>1.439215</v>
      </c>
      <c r="FP18" s="5">
        <f t="shared" si="108"/>
        <v>379.4002625</v>
      </c>
      <c r="FQ18" s="5">
        <f t="shared" si="109"/>
        <v>379.4002625</v>
      </c>
      <c r="FR18" s="35">
        <f t="shared" si="110"/>
        <v>390.0828007</v>
      </c>
      <c r="FS18" s="35">
        <f t="shared" si="111"/>
        <v>4.0531553</v>
      </c>
    </row>
    <row r="19" spans="1:175" ht="12.75">
      <c r="A19" s="36">
        <v>46844</v>
      </c>
      <c r="C19" s="77">
        <f>'2019C'!C19</f>
        <v>6460000</v>
      </c>
      <c r="D19" s="77">
        <f>'2019C'!D19</f>
        <v>508375</v>
      </c>
      <c r="E19" s="34">
        <f t="shared" si="0"/>
        <v>6968375</v>
      </c>
      <c r="F19" s="77">
        <f>'2019C'!F19</f>
        <v>522689</v>
      </c>
      <c r="G19" s="77">
        <f>'2019C'!G19</f>
        <v>5431</v>
      </c>
      <c r="I19" s="46">
        <f>O19+U19+AG19+AM19+AS19+AA19+AY19+BE19+BK19+BQ19+BW19+CC19+CI19+CO19+CU19+DA19+DG19+DM19+DS19+DY19+EE19+EK19+EQ19+EW19+FC19+FI19+FO19</f>
        <v>1442072.2599999998</v>
      </c>
      <c r="J19" s="35">
        <f t="shared" si="1"/>
        <v>113485.05962500001</v>
      </c>
      <c r="K19" s="35">
        <f t="shared" si="2"/>
        <v>1555557.3196249998</v>
      </c>
      <c r="L19" s="35">
        <f t="shared" si="3"/>
        <v>116680.38815900001</v>
      </c>
      <c r="M19" s="35">
        <f t="shared" si="3"/>
        <v>1212.3675610000003</v>
      </c>
      <c r="N19"/>
      <c r="O19" s="5">
        <f t="shared" si="112"/>
        <v>302338.982</v>
      </c>
      <c r="P19" s="5">
        <f t="shared" si="4"/>
        <v>23792.814237500002</v>
      </c>
      <c r="Q19" s="5">
        <f t="shared" si="5"/>
        <v>326131.79623750004</v>
      </c>
      <c r="R19" s="35">
        <f t="shared" si="6"/>
        <v>24462.7337713</v>
      </c>
      <c r="S19" s="35">
        <f t="shared" si="7"/>
        <v>254.1800327</v>
      </c>
      <c r="T19"/>
      <c r="U19" s="5">
        <f t="shared" si="113"/>
        <v>42078.502</v>
      </c>
      <c r="V19" s="5">
        <f t="shared" si="8"/>
        <v>3311.4022375</v>
      </c>
      <c r="W19" s="35">
        <f t="shared" si="9"/>
        <v>45389.9042375</v>
      </c>
      <c r="X19" s="35">
        <f t="shared" si="10"/>
        <v>3404.6393393</v>
      </c>
      <c r="Y19" s="35">
        <f t="shared" si="11"/>
        <v>35.3759047</v>
      </c>
      <c r="Z19" s="35"/>
      <c r="AA19" s="5">
        <f t="shared" si="114"/>
        <v>6046.5599999999995</v>
      </c>
      <c r="AB19" s="5">
        <f t="shared" si="12"/>
        <v>475.839</v>
      </c>
      <c r="AC19" s="5">
        <f t="shared" si="13"/>
        <v>6522.398999999999</v>
      </c>
      <c r="AD19" s="35">
        <f t="shared" si="14"/>
        <v>489.236904</v>
      </c>
      <c r="AE19" s="35">
        <f t="shared" si="15"/>
        <v>5.083416</v>
      </c>
      <c r="AF19"/>
      <c r="AG19" s="5">
        <f t="shared" si="115"/>
        <v>35582.326</v>
      </c>
      <c r="AH19" s="5">
        <f t="shared" si="16"/>
        <v>2800.1803375</v>
      </c>
      <c r="AI19" s="5">
        <f t="shared" si="17"/>
        <v>38382.5063375</v>
      </c>
      <c r="AJ19" s="35">
        <f t="shared" si="18"/>
        <v>2879.0232809</v>
      </c>
      <c r="AK19" s="35">
        <f t="shared" si="19"/>
        <v>29.9144911</v>
      </c>
      <c r="AL19"/>
      <c r="AM19" s="5">
        <f t="shared" si="116"/>
        <v>15809.557999999999</v>
      </c>
      <c r="AN19" s="5">
        <f t="shared" si="20"/>
        <v>1244.1461375</v>
      </c>
      <c r="AO19" s="5">
        <f t="shared" si="21"/>
        <v>17053.704137499997</v>
      </c>
      <c r="AP19" s="35">
        <f t="shared" si="22"/>
        <v>1279.1767897</v>
      </c>
      <c r="AQ19" s="35">
        <f t="shared" si="23"/>
        <v>13.2912863</v>
      </c>
      <c r="AR19"/>
      <c r="AS19" s="5">
        <f t="shared" si="117"/>
        <v>10051.114</v>
      </c>
      <c r="AT19" s="5">
        <f t="shared" si="24"/>
        <v>790.9806625</v>
      </c>
      <c r="AU19" s="5">
        <f t="shared" si="25"/>
        <v>10842.0946625</v>
      </c>
      <c r="AV19" s="35">
        <f t="shared" si="26"/>
        <v>813.2518151</v>
      </c>
      <c r="AW19" s="35">
        <f t="shared" si="27"/>
        <v>8.4500929</v>
      </c>
      <c r="AX19"/>
      <c r="AY19" s="5">
        <f t="shared" si="118"/>
        <v>27122.31</v>
      </c>
      <c r="AZ19" s="5">
        <f t="shared" si="28"/>
        <v>2134.4124375</v>
      </c>
      <c r="BA19" s="5">
        <f t="shared" si="29"/>
        <v>29256.7224375</v>
      </c>
      <c r="BB19" s="35">
        <f t="shared" si="30"/>
        <v>2194.5097665</v>
      </c>
      <c r="BC19" s="35">
        <f t="shared" si="31"/>
        <v>22.8020535</v>
      </c>
      <c r="BD19"/>
      <c r="BE19" s="5">
        <f t="shared" si="119"/>
        <v>5.168</v>
      </c>
      <c r="BF19" s="5">
        <f t="shared" si="32"/>
        <v>0.4067</v>
      </c>
      <c r="BG19" s="5">
        <f t="shared" si="33"/>
        <v>5.5747</v>
      </c>
      <c r="BH19" s="35">
        <f t="shared" si="34"/>
        <v>0.4181512</v>
      </c>
      <c r="BI19" s="35">
        <f t="shared" si="35"/>
        <v>0.0043448</v>
      </c>
      <c r="BJ19"/>
      <c r="BK19" s="5">
        <f t="shared" si="120"/>
        <v>16778.558</v>
      </c>
      <c r="BL19" s="5">
        <f t="shared" si="36"/>
        <v>1320.4023875</v>
      </c>
      <c r="BM19" s="35">
        <f t="shared" si="37"/>
        <v>18098.9603875</v>
      </c>
      <c r="BN19" s="35">
        <f t="shared" si="38"/>
        <v>1357.5801397</v>
      </c>
      <c r="BO19" s="35">
        <f t="shared" si="39"/>
        <v>14.1059363</v>
      </c>
      <c r="BP19"/>
      <c r="BQ19" s="5">
        <f t="shared" si="121"/>
        <v>30884.614</v>
      </c>
      <c r="BR19" s="5">
        <f t="shared" si="40"/>
        <v>2430.4900375</v>
      </c>
      <c r="BS19" s="5">
        <f t="shared" si="41"/>
        <v>33315.1040375</v>
      </c>
      <c r="BT19" s="35">
        <f t="shared" si="42"/>
        <v>2498.9238401000002</v>
      </c>
      <c r="BU19" s="35">
        <f t="shared" si="43"/>
        <v>25.9650679</v>
      </c>
      <c r="BV19"/>
      <c r="BW19" s="5">
        <f t="shared" si="122"/>
        <v>80390.824</v>
      </c>
      <c r="BX19" s="5">
        <f t="shared" si="44"/>
        <v>6326.42185</v>
      </c>
      <c r="BY19" s="5">
        <f t="shared" si="45"/>
        <v>86717.24584999999</v>
      </c>
      <c r="BZ19" s="35">
        <f t="shared" si="46"/>
        <v>6504.5509916</v>
      </c>
      <c r="CA19" s="35">
        <f t="shared" si="47"/>
        <v>67.5855364</v>
      </c>
      <c r="CB19"/>
      <c r="CC19" s="5">
        <f t="shared" si="123"/>
        <v>8177.714</v>
      </c>
      <c r="CD19" s="5">
        <f t="shared" si="48"/>
        <v>643.5519125</v>
      </c>
      <c r="CE19" s="5">
        <f t="shared" si="49"/>
        <v>8821.2659125</v>
      </c>
      <c r="CF19" s="35">
        <f t="shared" si="50"/>
        <v>661.6720051</v>
      </c>
      <c r="CG19" s="35">
        <f t="shared" si="51"/>
        <v>6.8751029</v>
      </c>
      <c r="CH19"/>
      <c r="CI19" s="5">
        <f t="shared" si="124"/>
        <v>1021.972</v>
      </c>
      <c r="CJ19" s="5">
        <f t="shared" si="52"/>
        <v>80.424925</v>
      </c>
      <c r="CK19" s="5">
        <f t="shared" si="53"/>
        <v>1102.396925</v>
      </c>
      <c r="CL19" s="35">
        <f t="shared" si="54"/>
        <v>82.6893998</v>
      </c>
      <c r="CM19" s="35">
        <f t="shared" si="55"/>
        <v>0.8591842</v>
      </c>
      <c r="CN19"/>
      <c r="CO19" s="5">
        <f t="shared" si="125"/>
        <v>923.134</v>
      </c>
      <c r="CP19" s="5">
        <f t="shared" si="56"/>
        <v>72.6467875</v>
      </c>
      <c r="CQ19" s="5">
        <f t="shared" si="57"/>
        <v>995.7807875</v>
      </c>
      <c r="CR19" s="35">
        <f t="shared" si="58"/>
        <v>74.6922581</v>
      </c>
      <c r="CS19" s="35">
        <f t="shared" si="59"/>
        <v>0.7760899</v>
      </c>
      <c r="CT19"/>
      <c r="CU19" s="5">
        <f t="shared" si="126"/>
        <v>22953.026</v>
      </c>
      <c r="CV19" s="5">
        <f t="shared" si="60"/>
        <v>1806.3072125</v>
      </c>
      <c r="CW19" s="5">
        <f t="shared" si="61"/>
        <v>24759.3332125</v>
      </c>
      <c r="CX19" s="35">
        <f t="shared" si="62"/>
        <v>1857.1662859</v>
      </c>
      <c r="CY19" s="35">
        <f t="shared" si="63"/>
        <v>19.296886100000002</v>
      </c>
      <c r="CZ19"/>
      <c r="DA19" s="5">
        <f t="shared" si="127"/>
        <v>1781.668</v>
      </c>
      <c r="DB19" s="5">
        <f t="shared" si="64"/>
        <v>140.209825</v>
      </c>
      <c r="DC19" s="5">
        <f t="shared" si="65"/>
        <v>1921.8778249999998</v>
      </c>
      <c r="DD19" s="35">
        <f t="shared" si="66"/>
        <v>144.15762619999998</v>
      </c>
      <c r="DE19" s="35">
        <f t="shared" si="67"/>
        <v>1.4978698</v>
      </c>
      <c r="DF19"/>
      <c r="DG19" s="5">
        <f t="shared" si="128"/>
        <v>14092.49</v>
      </c>
      <c r="DH19" s="5">
        <f t="shared" si="68"/>
        <v>1109.0200625</v>
      </c>
      <c r="DI19" s="35">
        <f t="shared" si="69"/>
        <v>15201.5100625</v>
      </c>
      <c r="DJ19" s="35">
        <f t="shared" si="70"/>
        <v>1140.2460535</v>
      </c>
      <c r="DK19" s="35">
        <f t="shared" si="71"/>
        <v>11.847726499999998</v>
      </c>
      <c r="DM19" s="5">
        <f t="shared" si="129"/>
        <v>72766.08600000001</v>
      </c>
      <c r="DN19" s="5">
        <f t="shared" si="72"/>
        <v>5726.3868375</v>
      </c>
      <c r="DO19" s="5">
        <f t="shared" si="73"/>
        <v>78492.47283750001</v>
      </c>
      <c r="DP19" s="35">
        <f t="shared" si="74"/>
        <v>5887.621164900001</v>
      </c>
      <c r="DQ19" s="35">
        <f t="shared" si="75"/>
        <v>61.175327100000004</v>
      </c>
      <c r="DS19" s="5">
        <f t="shared" si="130"/>
        <v>5773.302</v>
      </c>
      <c r="DT19" s="5">
        <f t="shared" si="76"/>
        <v>454.3347375</v>
      </c>
      <c r="DU19" s="5">
        <f t="shared" si="77"/>
        <v>6227.6367375</v>
      </c>
      <c r="DV19" s="35">
        <f t="shared" si="78"/>
        <v>467.1271593</v>
      </c>
      <c r="DW19" s="35">
        <f t="shared" si="79"/>
        <v>4.8536847</v>
      </c>
      <c r="DY19" s="5">
        <f t="shared" si="131"/>
        <v>15674.544</v>
      </c>
      <c r="DZ19" s="5">
        <f t="shared" si="80"/>
        <v>1233.5211</v>
      </c>
      <c r="EA19" s="5">
        <f t="shared" si="81"/>
        <v>16908.0651</v>
      </c>
      <c r="EB19" s="35">
        <f t="shared" si="82"/>
        <v>1268.2525896</v>
      </c>
      <c r="EC19" s="35">
        <f t="shared" si="83"/>
        <v>13.1777784</v>
      </c>
      <c r="EE19" s="5">
        <f t="shared" si="132"/>
        <v>17576.368000000002</v>
      </c>
      <c r="EF19" s="5">
        <f t="shared" si="84"/>
        <v>1383.1867000000002</v>
      </c>
      <c r="EG19" s="35">
        <f t="shared" si="85"/>
        <v>18959.5547</v>
      </c>
      <c r="EH19" s="35">
        <f t="shared" si="86"/>
        <v>1422.1322312000002</v>
      </c>
      <c r="EI19" s="35">
        <f t="shared" si="87"/>
        <v>14.7766648</v>
      </c>
      <c r="EK19" s="5">
        <f t="shared" si="133"/>
        <v>44286.53</v>
      </c>
      <c r="EL19" s="5">
        <f t="shared" si="88"/>
        <v>3485.1648124999997</v>
      </c>
      <c r="EM19" s="35">
        <f t="shared" si="89"/>
        <v>47771.6948125</v>
      </c>
      <c r="EN19" s="35">
        <f t="shared" si="90"/>
        <v>3583.2944395</v>
      </c>
      <c r="EO19" s="35">
        <f t="shared" si="91"/>
        <v>37.2322205</v>
      </c>
      <c r="EQ19" s="5">
        <f t="shared" si="134"/>
        <v>68041.242</v>
      </c>
      <c r="ER19" s="5">
        <f t="shared" si="92"/>
        <v>5354.5613625000005</v>
      </c>
      <c r="ES19" s="35">
        <f t="shared" si="93"/>
        <v>73395.8033625</v>
      </c>
      <c r="ET19" s="35">
        <f t="shared" si="94"/>
        <v>5505.3264303000005</v>
      </c>
      <c r="EU19" s="35">
        <f t="shared" si="95"/>
        <v>57.203093700000004</v>
      </c>
      <c r="EW19" s="5">
        <f t="shared" si="135"/>
        <v>322547.154</v>
      </c>
      <c r="EX19" s="5">
        <f t="shared" si="96"/>
        <v>25383.1129125</v>
      </c>
      <c r="EY19" s="5">
        <f t="shared" si="97"/>
        <v>347930.26691249997</v>
      </c>
      <c r="EZ19" s="35">
        <f t="shared" si="98"/>
        <v>26097.8095011</v>
      </c>
      <c r="FA19" s="35">
        <f t="shared" si="99"/>
        <v>271.1692869</v>
      </c>
      <c r="FC19" s="5">
        <f t="shared" si="136"/>
        <v>272835.516</v>
      </c>
      <c r="FD19" s="5">
        <f t="shared" si="100"/>
        <v>21471.014775</v>
      </c>
      <c r="FE19" s="5">
        <f t="shared" si="101"/>
        <v>294306.530775</v>
      </c>
      <c r="FF19" s="35">
        <f t="shared" si="102"/>
        <v>22075.560839399997</v>
      </c>
      <c r="FG19" s="35">
        <f t="shared" si="103"/>
        <v>229.37611259999997</v>
      </c>
      <c r="FI19" s="5">
        <f t="shared" si="137"/>
        <v>1711.8999999999999</v>
      </c>
      <c r="FJ19" s="5">
        <f t="shared" si="104"/>
        <v>134.71937499999999</v>
      </c>
      <c r="FK19" s="5">
        <f t="shared" si="105"/>
        <v>1846.6193749999998</v>
      </c>
      <c r="FL19" s="35">
        <f t="shared" si="106"/>
        <v>138.512585</v>
      </c>
      <c r="FM19" s="35">
        <f t="shared" si="107"/>
        <v>1.439215</v>
      </c>
      <c r="FO19" s="5">
        <f t="shared" si="138"/>
        <v>4821.098</v>
      </c>
      <c r="FP19" s="5">
        <f t="shared" si="108"/>
        <v>379.4002625</v>
      </c>
      <c r="FQ19" s="5">
        <f t="shared" si="109"/>
        <v>5200.4982625</v>
      </c>
      <c r="FR19" s="35">
        <f t="shared" si="110"/>
        <v>390.0828007</v>
      </c>
      <c r="FS19" s="35">
        <f t="shared" si="111"/>
        <v>4.0531553</v>
      </c>
    </row>
    <row r="20" spans="1:175" ht="12.75">
      <c r="A20" s="36">
        <v>47027</v>
      </c>
      <c r="C20" s="77">
        <f>'2019C'!C20</f>
        <v>0</v>
      </c>
      <c r="D20" s="77">
        <f>'2019C'!D20</f>
        <v>346875</v>
      </c>
      <c r="E20" s="34">
        <f t="shared" si="0"/>
        <v>346875</v>
      </c>
      <c r="F20" s="77">
        <f>'2019C'!F20</f>
        <v>522689</v>
      </c>
      <c r="G20" s="77">
        <f>'2019C'!G20</f>
        <v>5431</v>
      </c>
      <c r="I20" s="46"/>
      <c r="J20" s="35">
        <f t="shared" si="1"/>
        <v>77433.253125</v>
      </c>
      <c r="K20" s="35">
        <f t="shared" si="2"/>
        <v>77433.253125</v>
      </c>
      <c r="L20" s="35">
        <f t="shared" si="3"/>
        <v>116680.38815900001</v>
      </c>
      <c r="M20" s="35">
        <f t="shared" si="3"/>
        <v>1212.3675610000003</v>
      </c>
      <c r="N20"/>
      <c r="P20" s="5">
        <f t="shared" si="4"/>
        <v>16234.3396875</v>
      </c>
      <c r="Q20" s="5">
        <f t="shared" si="5"/>
        <v>16234.3396875</v>
      </c>
      <c r="R20" s="35">
        <f t="shared" si="6"/>
        <v>24462.7337713</v>
      </c>
      <c r="S20" s="35">
        <f t="shared" si="7"/>
        <v>254.1800327</v>
      </c>
      <c r="T20"/>
      <c r="V20" s="5">
        <f t="shared" si="8"/>
        <v>2259.4396874999998</v>
      </c>
      <c r="W20" s="35">
        <f t="shared" si="9"/>
        <v>2259.4396874999998</v>
      </c>
      <c r="X20" s="35">
        <f t="shared" si="10"/>
        <v>3404.6393393</v>
      </c>
      <c r="Y20" s="35">
        <f t="shared" si="11"/>
        <v>35.3759047</v>
      </c>
      <c r="Z20" s="35"/>
      <c r="AB20" s="5">
        <f t="shared" si="12"/>
        <v>324.675</v>
      </c>
      <c r="AC20" s="5">
        <f t="shared" si="13"/>
        <v>324.675</v>
      </c>
      <c r="AD20" s="35">
        <f t="shared" si="14"/>
        <v>489.236904</v>
      </c>
      <c r="AE20" s="35">
        <f t="shared" si="15"/>
        <v>5.083416</v>
      </c>
      <c r="AF20"/>
      <c r="AH20" s="5">
        <f t="shared" si="16"/>
        <v>1910.6221875</v>
      </c>
      <c r="AI20" s="5">
        <f t="shared" si="17"/>
        <v>1910.6221875</v>
      </c>
      <c r="AJ20" s="35">
        <f t="shared" si="18"/>
        <v>2879.0232809</v>
      </c>
      <c r="AK20" s="35">
        <f t="shared" si="19"/>
        <v>29.9144911</v>
      </c>
      <c r="AL20"/>
      <c r="AN20" s="5">
        <f t="shared" si="20"/>
        <v>848.9071875</v>
      </c>
      <c r="AO20" s="5">
        <f t="shared" si="21"/>
        <v>848.9071875</v>
      </c>
      <c r="AP20" s="35">
        <f t="shared" si="22"/>
        <v>1279.1767897</v>
      </c>
      <c r="AQ20" s="35">
        <f t="shared" si="23"/>
        <v>13.2912863</v>
      </c>
      <c r="AR20"/>
      <c r="AT20" s="5">
        <f t="shared" si="24"/>
        <v>539.7028125</v>
      </c>
      <c r="AU20" s="5">
        <f t="shared" si="25"/>
        <v>539.7028125</v>
      </c>
      <c r="AV20" s="35">
        <f t="shared" si="26"/>
        <v>813.2518151</v>
      </c>
      <c r="AW20" s="35">
        <f t="shared" si="27"/>
        <v>8.4500929</v>
      </c>
      <c r="AX20"/>
      <c r="AZ20" s="5">
        <f t="shared" si="28"/>
        <v>1456.3546875</v>
      </c>
      <c r="BA20" s="5">
        <f t="shared" si="29"/>
        <v>1456.3546875</v>
      </c>
      <c r="BB20" s="35">
        <f t="shared" si="30"/>
        <v>2194.5097665</v>
      </c>
      <c r="BC20" s="35">
        <f t="shared" si="31"/>
        <v>22.8020535</v>
      </c>
      <c r="BD20"/>
      <c r="BF20" s="5">
        <f t="shared" si="32"/>
        <v>0.27749999999999997</v>
      </c>
      <c r="BG20" s="5">
        <f t="shared" si="33"/>
        <v>0.27749999999999997</v>
      </c>
      <c r="BH20" s="35">
        <f t="shared" si="34"/>
        <v>0.4181512</v>
      </c>
      <c r="BI20" s="35">
        <f t="shared" si="35"/>
        <v>0.0043448</v>
      </c>
      <c r="BJ20"/>
      <c r="BL20" s="5">
        <f t="shared" si="36"/>
        <v>900.9384375</v>
      </c>
      <c r="BM20" s="35">
        <f t="shared" si="37"/>
        <v>900.9384375</v>
      </c>
      <c r="BN20" s="35">
        <f t="shared" si="38"/>
        <v>1357.5801397</v>
      </c>
      <c r="BO20" s="35">
        <f t="shared" si="39"/>
        <v>14.1059363</v>
      </c>
      <c r="BP20"/>
      <c r="BR20" s="5">
        <f t="shared" si="40"/>
        <v>1658.3746875000002</v>
      </c>
      <c r="BS20" s="5">
        <f t="shared" si="41"/>
        <v>1658.3746875000002</v>
      </c>
      <c r="BT20" s="35">
        <f t="shared" si="42"/>
        <v>2498.9238401000002</v>
      </c>
      <c r="BU20" s="35">
        <f t="shared" si="43"/>
        <v>25.9650679</v>
      </c>
      <c r="BV20"/>
      <c r="BX20" s="5">
        <f t="shared" si="44"/>
        <v>4316.65125</v>
      </c>
      <c r="BY20" s="5">
        <f t="shared" si="45"/>
        <v>4316.65125</v>
      </c>
      <c r="BZ20" s="35">
        <f t="shared" si="46"/>
        <v>6504.5509916</v>
      </c>
      <c r="CA20" s="35">
        <f t="shared" si="47"/>
        <v>67.5855364</v>
      </c>
      <c r="CB20"/>
      <c r="CD20" s="5">
        <f t="shared" si="48"/>
        <v>439.1090625</v>
      </c>
      <c r="CE20" s="5">
        <f t="shared" si="49"/>
        <v>439.1090625</v>
      </c>
      <c r="CF20" s="35">
        <f t="shared" si="50"/>
        <v>661.6720051</v>
      </c>
      <c r="CG20" s="35">
        <f t="shared" si="51"/>
        <v>6.8751029</v>
      </c>
      <c r="CH20"/>
      <c r="CJ20" s="5">
        <f t="shared" si="52"/>
        <v>54.875625</v>
      </c>
      <c r="CK20" s="5">
        <f t="shared" si="53"/>
        <v>54.875625</v>
      </c>
      <c r="CL20" s="35">
        <f t="shared" si="54"/>
        <v>82.6893998</v>
      </c>
      <c r="CM20" s="35">
        <f t="shared" si="55"/>
        <v>0.8591842</v>
      </c>
      <c r="CN20"/>
      <c r="CP20" s="5">
        <f t="shared" si="56"/>
        <v>49.5684375</v>
      </c>
      <c r="CQ20" s="5">
        <f t="shared" si="57"/>
        <v>49.5684375</v>
      </c>
      <c r="CR20" s="35">
        <f t="shared" si="58"/>
        <v>74.6922581</v>
      </c>
      <c r="CS20" s="35">
        <f t="shared" si="59"/>
        <v>0.7760899</v>
      </c>
      <c r="CT20"/>
      <c r="CV20" s="5">
        <f t="shared" si="60"/>
        <v>1232.4815625</v>
      </c>
      <c r="CW20" s="5">
        <f t="shared" si="61"/>
        <v>1232.4815625</v>
      </c>
      <c r="CX20" s="35">
        <f t="shared" si="62"/>
        <v>1857.1662859</v>
      </c>
      <c r="CY20" s="35">
        <f t="shared" si="63"/>
        <v>19.296886100000002</v>
      </c>
      <c r="CZ20"/>
      <c r="DB20" s="5">
        <f t="shared" si="64"/>
        <v>95.66812499999999</v>
      </c>
      <c r="DC20" s="5">
        <f t="shared" si="65"/>
        <v>95.66812499999999</v>
      </c>
      <c r="DD20" s="35">
        <f t="shared" si="66"/>
        <v>144.15762619999998</v>
      </c>
      <c r="DE20" s="35">
        <f t="shared" si="67"/>
        <v>1.4978698</v>
      </c>
      <c r="DF20"/>
      <c r="DH20" s="5">
        <f t="shared" si="68"/>
        <v>756.7078124999999</v>
      </c>
      <c r="DI20" s="35">
        <f t="shared" si="69"/>
        <v>756.7078124999999</v>
      </c>
      <c r="DJ20" s="35">
        <f t="shared" si="70"/>
        <v>1140.2460535</v>
      </c>
      <c r="DK20" s="35">
        <f t="shared" si="71"/>
        <v>11.847726499999998</v>
      </c>
      <c r="DN20" s="5">
        <f t="shared" si="72"/>
        <v>3907.2346875000003</v>
      </c>
      <c r="DO20" s="5">
        <f t="shared" si="73"/>
        <v>3907.2346875000003</v>
      </c>
      <c r="DP20" s="35">
        <f t="shared" si="74"/>
        <v>5887.621164900001</v>
      </c>
      <c r="DQ20" s="35">
        <f t="shared" si="75"/>
        <v>61.175327100000004</v>
      </c>
      <c r="DT20" s="5">
        <f t="shared" si="76"/>
        <v>310.0021875</v>
      </c>
      <c r="DU20" s="5">
        <f t="shared" si="77"/>
        <v>310.0021875</v>
      </c>
      <c r="DV20" s="35">
        <f t="shared" si="78"/>
        <v>467.1271593</v>
      </c>
      <c r="DW20" s="35">
        <f t="shared" si="79"/>
        <v>4.8536847</v>
      </c>
      <c r="DZ20" s="5">
        <f t="shared" si="80"/>
        <v>841.6575</v>
      </c>
      <c r="EA20" s="5">
        <f t="shared" si="81"/>
        <v>841.6575</v>
      </c>
      <c r="EB20" s="35">
        <f t="shared" si="82"/>
        <v>1268.2525896</v>
      </c>
      <c r="EC20" s="35">
        <f t="shared" si="83"/>
        <v>13.1777784</v>
      </c>
      <c r="EF20" s="5">
        <f t="shared" si="84"/>
        <v>943.7775</v>
      </c>
      <c r="EG20" s="35">
        <f t="shared" si="85"/>
        <v>943.7775</v>
      </c>
      <c r="EH20" s="35">
        <f t="shared" si="86"/>
        <v>1422.1322312000002</v>
      </c>
      <c r="EI20" s="35">
        <f t="shared" si="87"/>
        <v>14.7766648</v>
      </c>
      <c r="EL20" s="5">
        <f t="shared" si="88"/>
        <v>2378.0015625</v>
      </c>
      <c r="EM20" s="35">
        <f t="shared" si="89"/>
        <v>2378.0015625</v>
      </c>
      <c r="EN20" s="35">
        <f t="shared" si="90"/>
        <v>3583.2944395</v>
      </c>
      <c r="EO20" s="35">
        <f t="shared" si="91"/>
        <v>37.2322205</v>
      </c>
      <c r="ER20" s="5">
        <f t="shared" si="92"/>
        <v>3653.5303125</v>
      </c>
      <c r="ES20" s="35">
        <f t="shared" si="93"/>
        <v>3653.5303125</v>
      </c>
      <c r="ET20" s="35">
        <f t="shared" si="94"/>
        <v>5505.3264303000005</v>
      </c>
      <c r="EU20" s="35">
        <f t="shared" si="95"/>
        <v>57.203093700000004</v>
      </c>
      <c r="EX20" s="5">
        <f t="shared" si="96"/>
        <v>17319.4340625</v>
      </c>
      <c r="EY20" s="5">
        <f t="shared" si="97"/>
        <v>17319.4340625</v>
      </c>
      <c r="EZ20" s="35">
        <f t="shared" si="98"/>
        <v>26097.8095011</v>
      </c>
      <c r="FA20" s="35">
        <f t="shared" si="99"/>
        <v>271.1692869</v>
      </c>
      <c r="FD20" s="5">
        <f t="shared" si="100"/>
        <v>14650.126874999998</v>
      </c>
      <c r="FE20" s="5">
        <f t="shared" si="101"/>
        <v>14650.126874999998</v>
      </c>
      <c r="FF20" s="35">
        <f t="shared" si="102"/>
        <v>22075.560839399997</v>
      </c>
      <c r="FG20" s="35">
        <f t="shared" si="103"/>
        <v>229.37611259999997</v>
      </c>
      <c r="FJ20" s="5">
        <f t="shared" si="104"/>
        <v>91.921875</v>
      </c>
      <c r="FK20" s="5">
        <f t="shared" si="105"/>
        <v>91.921875</v>
      </c>
      <c r="FL20" s="35">
        <f t="shared" si="106"/>
        <v>138.512585</v>
      </c>
      <c r="FM20" s="35">
        <f t="shared" si="107"/>
        <v>1.439215</v>
      </c>
      <c r="FP20" s="5">
        <f t="shared" si="108"/>
        <v>258.8728125</v>
      </c>
      <c r="FQ20" s="5">
        <f t="shared" si="109"/>
        <v>258.8728125</v>
      </c>
      <c r="FR20" s="35">
        <f t="shared" si="110"/>
        <v>390.0828007</v>
      </c>
      <c r="FS20" s="35">
        <f t="shared" si="111"/>
        <v>4.0531553</v>
      </c>
    </row>
    <row r="21" spans="1:175" ht="12.75">
      <c r="A21" s="36">
        <v>47209</v>
      </c>
      <c r="C21" s="77">
        <f>'2019C'!C21</f>
        <v>6775000</v>
      </c>
      <c r="D21" s="77">
        <f>'2019C'!D21</f>
        <v>346875</v>
      </c>
      <c r="E21" s="34">
        <f t="shared" si="0"/>
        <v>7121875</v>
      </c>
      <c r="F21" s="77">
        <f>'2019C'!F21</f>
        <v>522689</v>
      </c>
      <c r="G21" s="77">
        <f>'2019C'!G21</f>
        <v>5431</v>
      </c>
      <c r="I21" s="46">
        <f>O21+U21+AG21+AM21+AS21+AA21+AY21+BE21+BK21+BQ21+BW21+CC21+CI21+CO21+CU21+DA21+DG21+DM21+DS21+DY21+EE21+EK21+EQ21+EW21+FC21+FI21+FO21</f>
        <v>1512390.0250000001</v>
      </c>
      <c r="J21" s="35">
        <f t="shared" si="1"/>
        <v>77433.253125</v>
      </c>
      <c r="K21" s="35">
        <f t="shared" si="2"/>
        <v>1589823.2781250002</v>
      </c>
      <c r="L21" s="35">
        <f t="shared" si="3"/>
        <v>116680.38815900001</v>
      </c>
      <c r="M21" s="35">
        <f t="shared" si="3"/>
        <v>1212.3675610000003</v>
      </c>
      <c r="N21"/>
      <c r="O21" s="5">
        <f t="shared" si="112"/>
        <v>317081.5175</v>
      </c>
      <c r="P21" s="5">
        <f t="shared" si="4"/>
        <v>16234.3396875</v>
      </c>
      <c r="Q21" s="5">
        <f t="shared" si="5"/>
        <v>333315.8571875</v>
      </c>
      <c r="R21" s="35">
        <f t="shared" si="6"/>
        <v>24462.7337713</v>
      </c>
      <c r="S21" s="35">
        <f t="shared" si="7"/>
        <v>254.1800327</v>
      </c>
      <c r="T21"/>
      <c r="U21" s="5">
        <f t="shared" si="113"/>
        <v>44130.3175</v>
      </c>
      <c r="V21" s="5">
        <f t="shared" si="8"/>
        <v>2259.4396874999998</v>
      </c>
      <c r="W21" s="35">
        <f t="shared" si="9"/>
        <v>46389.7571875</v>
      </c>
      <c r="X21" s="35">
        <f t="shared" si="10"/>
        <v>3404.6393393</v>
      </c>
      <c r="Y21" s="35">
        <f t="shared" si="11"/>
        <v>35.3759047</v>
      </c>
      <c r="Z21" s="35"/>
      <c r="AA21" s="5">
        <f t="shared" si="114"/>
        <v>6341.4</v>
      </c>
      <c r="AB21" s="5">
        <f t="shared" si="12"/>
        <v>324.675</v>
      </c>
      <c r="AC21" s="5">
        <f t="shared" si="13"/>
        <v>6666.075</v>
      </c>
      <c r="AD21" s="35">
        <f t="shared" si="14"/>
        <v>489.236904</v>
      </c>
      <c r="AE21" s="35">
        <f t="shared" si="15"/>
        <v>5.083416</v>
      </c>
      <c r="AF21"/>
      <c r="AG21" s="5">
        <f t="shared" si="115"/>
        <v>37317.3775</v>
      </c>
      <c r="AH21" s="5">
        <f t="shared" si="16"/>
        <v>1910.6221875</v>
      </c>
      <c r="AI21" s="5">
        <f t="shared" si="17"/>
        <v>39227.9996875</v>
      </c>
      <c r="AJ21" s="35">
        <f t="shared" si="18"/>
        <v>2879.0232809</v>
      </c>
      <c r="AK21" s="35">
        <f t="shared" si="19"/>
        <v>29.9144911</v>
      </c>
      <c r="AL21"/>
      <c r="AM21" s="5">
        <f t="shared" si="116"/>
        <v>16580.4575</v>
      </c>
      <c r="AN21" s="5">
        <f t="shared" si="20"/>
        <v>848.9071875</v>
      </c>
      <c r="AO21" s="5">
        <f t="shared" si="21"/>
        <v>17429.3646875</v>
      </c>
      <c r="AP21" s="35">
        <f t="shared" si="22"/>
        <v>1279.1767897</v>
      </c>
      <c r="AQ21" s="35">
        <f t="shared" si="23"/>
        <v>13.2912863</v>
      </c>
      <c r="AR21"/>
      <c r="AS21" s="5">
        <f t="shared" si="117"/>
        <v>10541.2225</v>
      </c>
      <c r="AT21" s="5">
        <f t="shared" si="24"/>
        <v>539.7028125</v>
      </c>
      <c r="AU21" s="5">
        <f t="shared" si="25"/>
        <v>11080.9253125</v>
      </c>
      <c r="AV21" s="35">
        <f t="shared" si="26"/>
        <v>813.2518151</v>
      </c>
      <c r="AW21" s="35">
        <f t="shared" si="27"/>
        <v>8.4500929</v>
      </c>
      <c r="AX21"/>
      <c r="AY21" s="5">
        <f t="shared" si="118"/>
        <v>28444.8375</v>
      </c>
      <c r="AZ21" s="5">
        <f t="shared" si="28"/>
        <v>1456.3546875</v>
      </c>
      <c r="BA21" s="5">
        <f t="shared" si="29"/>
        <v>29901.1921875</v>
      </c>
      <c r="BB21" s="35">
        <f t="shared" si="30"/>
        <v>2194.5097665</v>
      </c>
      <c r="BC21" s="35">
        <f t="shared" si="31"/>
        <v>22.8020535</v>
      </c>
      <c r="BD21"/>
      <c r="BE21" s="5">
        <f t="shared" si="119"/>
        <v>5.42</v>
      </c>
      <c r="BF21" s="5">
        <f t="shared" si="32"/>
        <v>0.27749999999999997</v>
      </c>
      <c r="BG21" s="5">
        <f t="shared" si="33"/>
        <v>5.6975</v>
      </c>
      <c r="BH21" s="35">
        <f t="shared" si="34"/>
        <v>0.4181512</v>
      </c>
      <c r="BI21" s="35">
        <f t="shared" si="35"/>
        <v>0.0043448</v>
      </c>
      <c r="BJ21"/>
      <c r="BK21" s="5">
        <f t="shared" si="120"/>
        <v>17596.7075</v>
      </c>
      <c r="BL21" s="5">
        <f t="shared" si="36"/>
        <v>900.9384375</v>
      </c>
      <c r="BM21" s="35">
        <f t="shared" si="37"/>
        <v>18497.6459375</v>
      </c>
      <c r="BN21" s="35">
        <f t="shared" si="38"/>
        <v>1357.5801397</v>
      </c>
      <c r="BO21" s="35">
        <f t="shared" si="39"/>
        <v>14.1059363</v>
      </c>
      <c r="BP21"/>
      <c r="BQ21" s="5">
        <f t="shared" si="121"/>
        <v>32390.597500000003</v>
      </c>
      <c r="BR21" s="5">
        <f t="shared" si="40"/>
        <v>1658.3746875000002</v>
      </c>
      <c r="BS21" s="5">
        <f t="shared" si="41"/>
        <v>34048.9721875</v>
      </c>
      <c r="BT21" s="35">
        <f t="shared" si="42"/>
        <v>2498.9238401000002</v>
      </c>
      <c r="BU21" s="35">
        <f t="shared" si="43"/>
        <v>25.9650679</v>
      </c>
      <c r="BV21"/>
      <c r="BW21" s="5">
        <f t="shared" si="122"/>
        <v>84310.81</v>
      </c>
      <c r="BX21" s="5">
        <f t="shared" si="44"/>
        <v>4316.65125</v>
      </c>
      <c r="BY21" s="5">
        <f t="shared" si="45"/>
        <v>88627.46125</v>
      </c>
      <c r="BZ21" s="35">
        <f t="shared" si="46"/>
        <v>6504.5509916</v>
      </c>
      <c r="CA21" s="35">
        <f t="shared" si="47"/>
        <v>67.5855364</v>
      </c>
      <c r="CB21"/>
      <c r="CC21" s="5">
        <f t="shared" si="123"/>
        <v>8576.4725</v>
      </c>
      <c r="CD21" s="5">
        <f t="shared" si="48"/>
        <v>439.1090625</v>
      </c>
      <c r="CE21" s="5">
        <f t="shared" si="49"/>
        <v>9015.5815625</v>
      </c>
      <c r="CF21" s="35">
        <f t="shared" si="50"/>
        <v>661.6720051</v>
      </c>
      <c r="CG21" s="35">
        <f t="shared" si="51"/>
        <v>6.8751029</v>
      </c>
      <c r="CH21"/>
      <c r="CI21" s="5">
        <f t="shared" si="124"/>
        <v>1071.805</v>
      </c>
      <c r="CJ21" s="5">
        <f t="shared" si="52"/>
        <v>54.875625</v>
      </c>
      <c r="CK21" s="5">
        <f t="shared" si="53"/>
        <v>1126.680625</v>
      </c>
      <c r="CL21" s="35">
        <f t="shared" si="54"/>
        <v>82.6893998</v>
      </c>
      <c r="CM21" s="35">
        <f t="shared" si="55"/>
        <v>0.8591842</v>
      </c>
      <c r="CN21"/>
      <c r="CO21" s="5">
        <f t="shared" si="125"/>
        <v>968.1475</v>
      </c>
      <c r="CP21" s="5">
        <f t="shared" si="56"/>
        <v>49.5684375</v>
      </c>
      <c r="CQ21" s="5">
        <f t="shared" si="57"/>
        <v>1017.7159375</v>
      </c>
      <c r="CR21" s="35">
        <f t="shared" si="58"/>
        <v>74.6922581</v>
      </c>
      <c r="CS21" s="35">
        <f t="shared" si="59"/>
        <v>0.7760899</v>
      </c>
      <c r="CT21"/>
      <c r="CU21" s="5">
        <f t="shared" si="126"/>
        <v>24072.2525</v>
      </c>
      <c r="CV21" s="5">
        <f t="shared" si="60"/>
        <v>1232.4815625</v>
      </c>
      <c r="CW21" s="5">
        <f t="shared" si="61"/>
        <v>25304.7340625</v>
      </c>
      <c r="CX21" s="35">
        <f t="shared" si="62"/>
        <v>1857.1662859</v>
      </c>
      <c r="CY21" s="35">
        <f t="shared" si="63"/>
        <v>19.296886100000002</v>
      </c>
      <c r="CZ21"/>
      <c r="DA21" s="5">
        <f t="shared" si="127"/>
        <v>1868.5449999999998</v>
      </c>
      <c r="DB21" s="5">
        <f t="shared" si="64"/>
        <v>95.66812499999999</v>
      </c>
      <c r="DC21" s="5">
        <f t="shared" si="65"/>
        <v>1964.2131249999998</v>
      </c>
      <c r="DD21" s="35">
        <f t="shared" si="66"/>
        <v>144.15762619999998</v>
      </c>
      <c r="DE21" s="35">
        <f t="shared" si="67"/>
        <v>1.4978698</v>
      </c>
      <c r="DF21"/>
      <c r="DG21" s="5">
        <f t="shared" si="128"/>
        <v>14779.662499999999</v>
      </c>
      <c r="DH21" s="5">
        <f t="shared" si="68"/>
        <v>756.7078124999999</v>
      </c>
      <c r="DI21" s="35">
        <f t="shared" si="69"/>
        <v>15536.3703125</v>
      </c>
      <c r="DJ21" s="35">
        <f t="shared" si="70"/>
        <v>1140.2460535</v>
      </c>
      <c r="DK21" s="35">
        <f t="shared" si="71"/>
        <v>11.847726499999998</v>
      </c>
      <c r="DM21" s="5">
        <f t="shared" si="129"/>
        <v>76314.27750000001</v>
      </c>
      <c r="DN21" s="5">
        <f t="shared" si="72"/>
        <v>3907.2346875000003</v>
      </c>
      <c r="DO21" s="5">
        <f t="shared" si="73"/>
        <v>80221.51218750002</v>
      </c>
      <c r="DP21" s="35">
        <f t="shared" si="74"/>
        <v>5887.621164900001</v>
      </c>
      <c r="DQ21" s="35">
        <f t="shared" si="75"/>
        <v>61.175327100000004</v>
      </c>
      <c r="DS21" s="5">
        <f t="shared" si="130"/>
        <v>6054.8175</v>
      </c>
      <c r="DT21" s="5">
        <f t="shared" si="76"/>
        <v>310.0021875</v>
      </c>
      <c r="DU21" s="5">
        <f t="shared" si="77"/>
        <v>6364.8196875</v>
      </c>
      <c r="DV21" s="35">
        <f t="shared" si="78"/>
        <v>467.1271593</v>
      </c>
      <c r="DW21" s="35">
        <f t="shared" si="79"/>
        <v>4.8536847</v>
      </c>
      <c r="DY21" s="5">
        <f t="shared" si="131"/>
        <v>16438.86</v>
      </c>
      <c r="DZ21" s="5">
        <f t="shared" si="80"/>
        <v>841.6575</v>
      </c>
      <c r="EA21" s="5">
        <f t="shared" si="81"/>
        <v>17280.5175</v>
      </c>
      <c r="EB21" s="35">
        <f t="shared" si="82"/>
        <v>1268.2525896</v>
      </c>
      <c r="EC21" s="35">
        <f t="shared" si="83"/>
        <v>13.1777784</v>
      </c>
      <c r="EE21" s="5">
        <f t="shared" si="132"/>
        <v>18433.420000000002</v>
      </c>
      <c r="EF21" s="5">
        <f t="shared" si="84"/>
        <v>943.7775</v>
      </c>
      <c r="EG21" s="35">
        <f t="shared" si="85"/>
        <v>19377.197500000002</v>
      </c>
      <c r="EH21" s="35">
        <f t="shared" si="86"/>
        <v>1422.1322312000002</v>
      </c>
      <c r="EI21" s="35">
        <f t="shared" si="87"/>
        <v>14.7766648</v>
      </c>
      <c r="EK21" s="5">
        <f t="shared" si="133"/>
        <v>46446.0125</v>
      </c>
      <c r="EL21" s="5">
        <f t="shared" si="88"/>
        <v>2378.0015625</v>
      </c>
      <c r="EM21" s="35">
        <f t="shared" si="89"/>
        <v>48824.0140625</v>
      </c>
      <c r="EN21" s="35">
        <f t="shared" si="90"/>
        <v>3583.2944395</v>
      </c>
      <c r="EO21" s="35">
        <f t="shared" si="91"/>
        <v>37.2322205</v>
      </c>
      <c r="EQ21" s="5">
        <f t="shared" si="134"/>
        <v>71359.04250000001</v>
      </c>
      <c r="ER21" s="5">
        <f t="shared" si="92"/>
        <v>3653.5303125</v>
      </c>
      <c r="ES21" s="35">
        <f t="shared" si="93"/>
        <v>75012.57281250002</v>
      </c>
      <c r="ET21" s="35">
        <f t="shared" si="94"/>
        <v>5505.3264303000005</v>
      </c>
      <c r="EU21" s="35">
        <f t="shared" si="95"/>
        <v>57.203093700000004</v>
      </c>
      <c r="EW21" s="5">
        <f t="shared" si="135"/>
        <v>338275.0725</v>
      </c>
      <c r="EX21" s="5">
        <f t="shared" si="96"/>
        <v>17319.4340625</v>
      </c>
      <c r="EY21" s="5">
        <f t="shared" si="97"/>
        <v>355594.5065625</v>
      </c>
      <c r="EZ21" s="35">
        <f t="shared" si="98"/>
        <v>26097.8095011</v>
      </c>
      <c r="FA21" s="35">
        <f t="shared" si="99"/>
        <v>271.1692869</v>
      </c>
      <c r="FC21" s="5">
        <f t="shared" si="136"/>
        <v>286139.415</v>
      </c>
      <c r="FD21" s="5">
        <f t="shared" si="100"/>
        <v>14650.126874999998</v>
      </c>
      <c r="FE21" s="5">
        <f t="shared" si="101"/>
        <v>300789.541875</v>
      </c>
      <c r="FF21" s="35">
        <f t="shared" si="102"/>
        <v>22075.560839399997</v>
      </c>
      <c r="FG21" s="35">
        <f t="shared" si="103"/>
        <v>229.37611259999997</v>
      </c>
      <c r="FI21" s="5">
        <f t="shared" si="137"/>
        <v>1795.375</v>
      </c>
      <c r="FJ21" s="5">
        <f t="shared" si="104"/>
        <v>91.921875</v>
      </c>
      <c r="FK21" s="5">
        <f t="shared" si="105"/>
        <v>1887.296875</v>
      </c>
      <c r="FL21" s="35">
        <f t="shared" si="106"/>
        <v>138.512585</v>
      </c>
      <c r="FM21" s="35">
        <f t="shared" si="107"/>
        <v>1.439215</v>
      </c>
      <c r="FO21" s="5">
        <f t="shared" si="138"/>
        <v>5056.1825</v>
      </c>
      <c r="FP21" s="5">
        <f t="shared" si="108"/>
        <v>258.8728125</v>
      </c>
      <c r="FQ21" s="5">
        <f t="shared" si="109"/>
        <v>5315.0553125</v>
      </c>
      <c r="FR21" s="35">
        <f t="shared" si="110"/>
        <v>390.0828007</v>
      </c>
      <c r="FS21" s="35">
        <f t="shared" si="111"/>
        <v>4.0531553</v>
      </c>
    </row>
    <row r="22" spans="1:175" ht="12.75">
      <c r="A22" s="36">
        <v>47392</v>
      </c>
      <c r="C22" s="77">
        <f>'2019C'!C22</f>
        <v>0</v>
      </c>
      <c r="D22" s="77">
        <f>'2019C'!D22</f>
        <v>177500</v>
      </c>
      <c r="E22" s="34">
        <f t="shared" si="0"/>
        <v>177500</v>
      </c>
      <c r="F22" s="77">
        <f>'2019C'!F22</f>
        <v>522689</v>
      </c>
      <c r="G22" s="77">
        <f>'2019C'!G22</f>
        <v>5431</v>
      </c>
      <c r="I22" s="46"/>
      <c r="J22" s="35">
        <f t="shared" si="1"/>
        <v>39623.502499999995</v>
      </c>
      <c r="K22" s="35">
        <f t="shared" si="2"/>
        <v>39623.502499999995</v>
      </c>
      <c r="L22" s="35">
        <f t="shared" si="3"/>
        <v>116680.38815900001</v>
      </c>
      <c r="M22" s="35">
        <f t="shared" si="3"/>
        <v>1212.3675610000003</v>
      </c>
      <c r="N22"/>
      <c r="P22" s="5">
        <f t="shared" si="4"/>
        <v>8307.30175</v>
      </c>
      <c r="Q22" s="5">
        <f t="shared" si="5"/>
        <v>8307.30175</v>
      </c>
      <c r="R22" s="35">
        <f t="shared" si="6"/>
        <v>24462.7337713</v>
      </c>
      <c r="S22" s="35">
        <f t="shared" si="7"/>
        <v>254.1800327</v>
      </c>
      <c r="T22"/>
      <c r="V22" s="5">
        <f t="shared" si="8"/>
        <v>1156.18175</v>
      </c>
      <c r="W22" s="35">
        <f t="shared" si="9"/>
        <v>1156.18175</v>
      </c>
      <c r="X22" s="35">
        <f t="shared" si="10"/>
        <v>3404.6393393</v>
      </c>
      <c r="Y22" s="35">
        <f t="shared" si="11"/>
        <v>35.3759047</v>
      </c>
      <c r="Z22" s="35"/>
      <c r="AB22" s="5">
        <f t="shared" si="12"/>
        <v>166.14</v>
      </c>
      <c r="AC22" s="5">
        <f t="shared" si="13"/>
        <v>166.14</v>
      </c>
      <c r="AD22" s="35">
        <f t="shared" si="14"/>
        <v>489.236904</v>
      </c>
      <c r="AE22" s="35">
        <f t="shared" si="15"/>
        <v>5.083416</v>
      </c>
      <c r="AF22"/>
      <c r="AH22" s="5">
        <f t="shared" si="16"/>
        <v>977.68775</v>
      </c>
      <c r="AI22" s="5">
        <f t="shared" si="17"/>
        <v>977.68775</v>
      </c>
      <c r="AJ22" s="35">
        <f t="shared" si="18"/>
        <v>2879.0232809</v>
      </c>
      <c r="AK22" s="35">
        <f t="shared" si="19"/>
        <v>29.9144911</v>
      </c>
      <c r="AL22"/>
      <c r="AN22" s="5">
        <f t="shared" si="20"/>
        <v>434.39574999999996</v>
      </c>
      <c r="AO22" s="5">
        <f t="shared" si="21"/>
        <v>434.39574999999996</v>
      </c>
      <c r="AP22" s="35">
        <f t="shared" si="22"/>
        <v>1279.1767897</v>
      </c>
      <c r="AQ22" s="35">
        <f t="shared" si="23"/>
        <v>13.2912863</v>
      </c>
      <c r="AR22"/>
      <c r="AT22" s="5">
        <f t="shared" si="24"/>
        <v>276.17225</v>
      </c>
      <c r="AU22" s="5">
        <f t="shared" si="25"/>
        <v>276.17225</v>
      </c>
      <c r="AV22" s="35">
        <f t="shared" si="26"/>
        <v>813.2518151</v>
      </c>
      <c r="AW22" s="35">
        <f t="shared" si="27"/>
        <v>8.4500929</v>
      </c>
      <c r="AX22"/>
      <c r="AZ22" s="5">
        <f t="shared" si="28"/>
        <v>745.23375</v>
      </c>
      <c r="BA22" s="5">
        <f t="shared" si="29"/>
        <v>745.23375</v>
      </c>
      <c r="BB22" s="35">
        <f t="shared" si="30"/>
        <v>2194.5097665</v>
      </c>
      <c r="BC22" s="35">
        <f t="shared" si="31"/>
        <v>22.8020535</v>
      </c>
      <c r="BD22"/>
      <c r="BF22" s="5">
        <f t="shared" si="32"/>
        <v>0.142</v>
      </c>
      <c r="BG22" s="5">
        <f t="shared" si="33"/>
        <v>0.142</v>
      </c>
      <c r="BH22" s="35">
        <f t="shared" si="34"/>
        <v>0.4181512</v>
      </c>
      <c r="BI22" s="35">
        <f t="shared" si="35"/>
        <v>0.0043448</v>
      </c>
      <c r="BJ22"/>
      <c r="BL22" s="5">
        <f t="shared" si="36"/>
        <v>461.02074999999996</v>
      </c>
      <c r="BM22" s="35">
        <f t="shared" si="37"/>
        <v>461.02074999999996</v>
      </c>
      <c r="BN22" s="35">
        <f t="shared" si="38"/>
        <v>1357.5801397</v>
      </c>
      <c r="BO22" s="35">
        <f t="shared" si="39"/>
        <v>14.1059363</v>
      </c>
      <c r="BP22"/>
      <c r="BR22" s="5">
        <f t="shared" si="40"/>
        <v>848.6097500000001</v>
      </c>
      <c r="BS22" s="5">
        <f t="shared" si="41"/>
        <v>848.6097500000001</v>
      </c>
      <c r="BT22" s="35">
        <f t="shared" si="42"/>
        <v>2498.9238401000002</v>
      </c>
      <c r="BU22" s="35">
        <f t="shared" si="43"/>
        <v>25.9650679</v>
      </c>
      <c r="BV22"/>
      <c r="BX22" s="5">
        <f t="shared" si="44"/>
        <v>2208.881</v>
      </c>
      <c r="BY22" s="5">
        <f t="shared" si="45"/>
        <v>2208.881</v>
      </c>
      <c r="BZ22" s="35">
        <f t="shared" si="46"/>
        <v>6504.5509916</v>
      </c>
      <c r="CA22" s="35">
        <f t="shared" si="47"/>
        <v>67.5855364</v>
      </c>
      <c r="CB22"/>
      <c r="CD22" s="5">
        <f t="shared" si="48"/>
        <v>224.69725</v>
      </c>
      <c r="CE22" s="5">
        <f t="shared" si="49"/>
        <v>224.69725</v>
      </c>
      <c r="CF22" s="35">
        <f t="shared" si="50"/>
        <v>661.6720051</v>
      </c>
      <c r="CG22" s="35">
        <f t="shared" si="51"/>
        <v>6.8751029</v>
      </c>
      <c r="CH22"/>
      <c r="CJ22" s="5">
        <f t="shared" si="52"/>
        <v>28.0805</v>
      </c>
      <c r="CK22" s="5">
        <f t="shared" si="53"/>
        <v>28.0805</v>
      </c>
      <c r="CL22" s="35">
        <f t="shared" si="54"/>
        <v>82.6893998</v>
      </c>
      <c r="CM22" s="35">
        <f t="shared" si="55"/>
        <v>0.8591842</v>
      </c>
      <c r="CN22"/>
      <c r="CP22" s="5">
        <f t="shared" si="56"/>
        <v>25.36475</v>
      </c>
      <c r="CQ22" s="5">
        <f t="shared" si="57"/>
        <v>25.36475</v>
      </c>
      <c r="CR22" s="35">
        <f t="shared" si="58"/>
        <v>74.6922581</v>
      </c>
      <c r="CS22" s="35">
        <f t="shared" si="59"/>
        <v>0.7760899</v>
      </c>
      <c r="CT22"/>
      <c r="CV22" s="5">
        <f t="shared" si="60"/>
        <v>630.67525</v>
      </c>
      <c r="CW22" s="5">
        <f t="shared" si="61"/>
        <v>630.67525</v>
      </c>
      <c r="CX22" s="35">
        <f t="shared" si="62"/>
        <v>1857.1662859</v>
      </c>
      <c r="CY22" s="35">
        <f t="shared" si="63"/>
        <v>19.296886100000002</v>
      </c>
      <c r="CZ22"/>
      <c r="DB22" s="5">
        <f t="shared" si="64"/>
        <v>48.954499999999996</v>
      </c>
      <c r="DC22" s="5">
        <f t="shared" si="65"/>
        <v>48.954499999999996</v>
      </c>
      <c r="DD22" s="35">
        <f t="shared" si="66"/>
        <v>144.15762619999998</v>
      </c>
      <c r="DE22" s="35">
        <f t="shared" si="67"/>
        <v>1.4978698</v>
      </c>
      <c r="DF22"/>
      <c r="DH22" s="5">
        <f t="shared" si="68"/>
        <v>387.21624999999995</v>
      </c>
      <c r="DI22" s="35">
        <f t="shared" si="69"/>
        <v>387.21624999999995</v>
      </c>
      <c r="DJ22" s="35">
        <f t="shared" si="70"/>
        <v>1140.2460535</v>
      </c>
      <c r="DK22" s="35">
        <f t="shared" si="71"/>
        <v>11.847726499999998</v>
      </c>
      <c r="DN22" s="5">
        <f t="shared" si="72"/>
        <v>1999.37775</v>
      </c>
      <c r="DO22" s="5">
        <f t="shared" si="73"/>
        <v>1999.37775</v>
      </c>
      <c r="DP22" s="35">
        <f t="shared" si="74"/>
        <v>5887.621164900001</v>
      </c>
      <c r="DQ22" s="35">
        <f t="shared" si="75"/>
        <v>61.175327100000004</v>
      </c>
      <c r="DT22" s="5">
        <f t="shared" si="76"/>
        <v>158.63175</v>
      </c>
      <c r="DU22" s="5">
        <f t="shared" si="77"/>
        <v>158.63175</v>
      </c>
      <c r="DV22" s="35">
        <f t="shared" si="78"/>
        <v>467.1271593</v>
      </c>
      <c r="DW22" s="35">
        <f t="shared" si="79"/>
        <v>4.8536847</v>
      </c>
      <c r="DZ22" s="5">
        <f t="shared" si="80"/>
        <v>430.686</v>
      </c>
      <c r="EA22" s="5">
        <f t="shared" si="81"/>
        <v>430.686</v>
      </c>
      <c r="EB22" s="35">
        <f t="shared" si="82"/>
        <v>1268.2525896</v>
      </c>
      <c r="EC22" s="35">
        <f t="shared" si="83"/>
        <v>13.1777784</v>
      </c>
      <c r="EF22" s="5">
        <f t="shared" si="84"/>
        <v>482.94200000000006</v>
      </c>
      <c r="EG22" s="35">
        <f t="shared" si="85"/>
        <v>482.94200000000006</v>
      </c>
      <c r="EH22" s="35">
        <f t="shared" si="86"/>
        <v>1422.1322312000002</v>
      </c>
      <c r="EI22" s="35">
        <f t="shared" si="87"/>
        <v>14.7766648</v>
      </c>
      <c r="EL22" s="5">
        <f t="shared" si="88"/>
        <v>1216.85125</v>
      </c>
      <c r="EM22" s="35">
        <f t="shared" si="89"/>
        <v>1216.85125</v>
      </c>
      <c r="EN22" s="35">
        <f t="shared" si="90"/>
        <v>3583.2944395</v>
      </c>
      <c r="EO22" s="35">
        <f t="shared" si="91"/>
        <v>37.2322205</v>
      </c>
      <c r="ER22" s="5">
        <f t="shared" si="92"/>
        <v>1869.5542500000001</v>
      </c>
      <c r="ES22" s="35">
        <f t="shared" si="93"/>
        <v>1869.5542500000001</v>
      </c>
      <c r="ET22" s="35">
        <f t="shared" si="94"/>
        <v>5505.3264303000005</v>
      </c>
      <c r="EU22" s="35">
        <f t="shared" si="95"/>
        <v>57.203093700000004</v>
      </c>
      <c r="EX22" s="5">
        <f t="shared" si="96"/>
        <v>8862.55725</v>
      </c>
      <c r="EY22" s="5">
        <f t="shared" si="97"/>
        <v>8862.55725</v>
      </c>
      <c r="EZ22" s="35">
        <f t="shared" si="98"/>
        <v>26097.8095011</v>
      </c>
      <c r="FA22" s="35">
        <f t="shared" si="99"/>
        <v>271.1692869</v>
      </c>
      <c r="FD22" s="5">
        <f t="shared" si="100"/>
        <v>7496.6415</v>
      </c>
      <c r="FE22" s="5">
        <f t="shared" si="101"/>
        <v>7496.6415</v>
      </c>
      <c r="FF22" s="35">
        <f t="shared" si="102"/>
        <v>22075.560839399997</v>
      </c>
      <c r="FG22" s="35">
        <f t="shared" si="103"/>
        <v>229.37611259999997</v>
      </c>
      <c r="FJ22" s="5">
        <f t="shared" si="104"/>
        <v>47.0375</v>
      </c>
      <c r="FK22" s="5">
        <f t="shared" si="105"/>
        <v>47.0375</v>
      </c>
      <c r="FL22" s="35">
        <f t="shared" si="106"/>
        <v>138.512585</v>
      </c>
      <c r="FM22" s="35">
        <f t="shared" si="107"/>
        <v>1.439215</v>
      </c>
      <c r="FP22" s="5">
        <f t="shared" si="108"/>
        <v>132.46824999999998</v>
      </c>
      <c r="FQ22" s="5">
        <f t="shared" si="109"/>
        <v>132.46824999999998</v>
      </c>
      <c r="FR22" s="35">
        <f t="shared" si="110"/>
        <v>390.0828007</v>
      </c>
      <c r="FS22" s="35">
        <f t="shared" si="111"/>
        <v>4.0531553</v>
      </c>
    </row>
    <row r="23" spans="1:175" ht="12.75">
      <c r="A23" s="36">
        <v>11049</v>
      </c>
      <c r="C23" s="77">
        <f>'2019C'!C23</f>
        <v>7100000</v>
      </c>
      <c r="D23" s="77">
        <f>'2019C'!D23</f>
        <v>177500</v>
      </c>
      <c r="E23" s="34">
        <f t="shared" si="0"/>
        <v>7277500</v>
      </c>
      <c r="F23" s="77">
        <f>'2019C'!F23</f>
        <v>522689</v>
      </c>
      <c r="G23" s="77">
        <f>'2019C'!G23</f>
        <v>5431</v>
      </c>
      <c r="I23" s="46">
        <f>O23+U23+AG23+AM23+AS23+AA23+AY23+BE23+BK23+BQ23+BW23+CC23+CI23+CO23+CU23+DA23+DG23+DM23+DS23+DY23+EE23+EK23+EQ23+EW23+FC23+FI23+FO23</f>
        <v>1584940.1</v>
      </c>
      <c r="J23" s="35">
        <f t="shared" si="1"/>
        <v>39623.502499999995</v>
      </c>
      <c r="K23" s="35">
        <f t="shared" si="2"/>
        <v>1624563.6025</v>
      </c>
      <c r="L23" s="35">
        <f t="shared" si="3"/>
        <v>116680.38815900001</v>
      </c>
      <c r="M23" s="35">
        <f t="shared" si="3"/>
        <v>1212.3675610000003</v>
      </c>
      <c r="N23"/>
      <c r="O23" s="5">
        <f t="shared" si="112"/>
        <v>332292.07</v>
      </c>
      <c r="P23" s="5">
        <f t="shared" si="4"/>
        <v>8307.30175</v>
      </c>
      <c r="Q23" s="5">
        <f t="shared" si="5"/>
        <v>340599.37175</v>
      </c>
      <c r="R23" s="35">
        <f t="shared" si="6"/>
        <v>24462.7337713</v>
      </c>
      <c r="S23" s="35">
        <f t="shared" si="7"/>
        <v>254.1800327</v>
      </c>
      <c r="T23"/>
      <c r="U23" s="5">
        <f t="shared" si="113"/>
        <v>46247.27</v>
      </c>
      <c r="V23" s="5">
        <f t="shared" si="8"/>
        <v>1156.18175</v>
      </c>
      <c r="W23" s="35">
        <f t="shared" si="9"/>
        <v>47403.45175</v>
      </c>
      <c r="X23" s="35">
        <f t="shared" si="10"/>
        <v>3404.6393393</v>
      </c>
      <c r="Y23" s="35">
        <f t="shared" si="11"/>
        <v>35.3759047</v>
      </c>
      <c r="Z23" s="35"/>
      <c r="AA23" s="5">
        <f t="shared" si="114"/>
        <v>6645.599999999999</v>
      </c>
      <c r="AB23" s="5">
        <f t="shared" si="12"/>
        <v>166.14</v>
      </c>
      <c r="AC23" s="5">
        <f t="shared" si="13"/>
        <v>6811.74</v>
      </c>
      <c r="AD23" s="35">
        <f t="shared" si="14"/>
        <v>489.236904</v>
      </c>
      <c r="AE23" s="35">
        <f t="shared" si="15"/>
        <v>5.083416</v>
      </c>
      <c r="AF23"/>
      <c r="AG23" s="5">
        <f t="shared" si="115"/>
        <v>39107.51</v>
      </c>
      <c r="AH23" s="5">
        <f t="shared" si="16"/>
        <v>977.68775</v>
      </c>
      <c r="AI23" s="5">
        <f t="shared" si="17"/>
        <v>40085.19775</v>
      </c>
      <c r="AJ23" s="35">
        <f t="shared" si="18"/>
        <v>2879.0232809</v>
      </c>
      <c r="AK23" s="35">
        <f t="shared" si="19"/>
        <v>29.9144911</v>
      </c>
      <c r="AL23"/>
      <c r="AM23" s="5">
        <f t="shared" si="116"/>
        <v>17375.829999999998</v>
      </c>
      <c r="AN23" s="5">
        <f t="shared" si="20"/>
        <v>434.39574999999996</v>
      </c>
      <c r="AO23" s="5">
        <f t="shared" si="21"/>
        <v>17810.225749999998</v>
      </c>
      <c r="AP23" s="35">
        <f t="shared" si="22"/>
        <v>1279.1767897</v>
      </c>
      <c r="AQ23" s="35">
        <f t="shared" si="23"/>
        <v>13.2912863</v>
      </c>
      <c r="AR23"/>
      <c r="AS23" s="5">
        <f t="shared" si="117"/>
        <v>11046.89</v>
      </c>
      <c r="AT23" s="5">
        <f t="shared" si="24"/>
        <v>276.17225</v>
      </c>
      <c r="AU23" s="5">
        <f t="shared" si="25"/>
        <v>11323.062249999999</v>
      </c>
      <c r="AV23" s="35">
        <f t="shared" si="26"/>
        <v>813.2518151</v>
      </c>
      <c r="AW23" s="35">
        <f t="shared" si="27"/>
        <v>8.4500929</v>
      </c>
      <c r="AX23"/>
      <c r="AY23" s="5">
        <f t="shared" si="118"/>
        <v>29809.35</v>
      </c>
      <c r="AZ23" s="5">
        <f t="shared" si="28"/>
        <v>745.23375</v>
      </c>
      <c r="BA23" s="5">
        <f t="shared" si="29"/>
        <v>30554.583749999998</v>
      </c>
      <c r="BB23" s="35">
        <f t="shared" si="30"/>
        <v>2194.5097665</v>
      </c>
      <c r="BC23" s="35">
        <f t="shared" si="31"/>
        <v>22.8020535</v>
      </c>
      <c r="BD23"/>
      <c r="BE23" s="5">
        <f t="shared" si="119"/>
        <v>5.68</v>
      </c>
      <c r="BF23" s="5">
        <f t="shared" si="32"/>
        <v>0.142</v>
      </c>
      <c r="BG23" s="5">
        <f t="shared" si="33"/>
        <v>5.822</v>
      </c>
      <c r="BH23" s="35">
        <f t="shared" si="34"/>
        <v>0.4181512</v>
      </c>
      <c r="BI23" s="35">
        <f t="shared" si="35"/>
        <v>0.0043448</v>
      </c>
      <c r="BJ23"/>
      <c r="BK23" s="5">
        <f t="shared" si="120"/>
        <v>18440.829999999998</v>
      </c>
      <c r="BL23" s="5">
        <f t="shared" si="36"/>
        <v>461.02074999999996</v>
      </c>
      <c r="BM23" s="35">
        <f t="shared" si="37"/>
        <v>18901.850749999998</v>
      </c>
      <c r="BN23" s="35">
        <f t="shared" si="38"/>
        <v>1357.5801397</v>
      </c>
      <c r="BO23" s="35">
        <f t="shared" si="39"/>
        <v>14.1059363</v>
      </c>
      <c r="BP23"/>
      <c r="BQ23" s="5">
        <f t="shared" si="121"/>
        <v>33944.39</v>
      </c>
      <c r="BR23" s="5">
        <f t="shared" si="40"/>
        <v>848.6097500000001</v>
      </c>
      <c r="BS23" s="5">
        <f t="shared" si="41"/>
        <v>34792.99975</v>
      </c>
      <c r="BT23" s="35">
        <f t="shared" si="42"/>
        <v>2498.9238401000002</v>
      </c>
      <c r="BU23" s="35">
        <f t="shared" si="43"/>
        <v>25.9650679</v>
      </c>
      <c r="BV23"/>
      <c r="BW23" s="5">
        <f t="shared" si="122"/>
        <v>88355.23999999999</v>
      </c>
      <c r="BX23" s="5">
        <f t="shared" si="44"/>
        <v>2208.881</v>
      </c>
      <c r="BY23" s="5">
        <f t="shared" si="45"/>
        <v>90564.12099999998</v>
      </c>
      <c r="BZ23" s="35">
        <f t="shared" si="46"/>
        <v>6504.5509916</v>
      </c>
      <c r="CA23" s="35">
        <f t="shared" si="47"/>
        <v>67.5855364</v>
      </c>
      <c r="CB23"/>
      <c r="CC23" s="5">
        <f t="shared" si="123"/>
        <v>8987.89</v>
      </c>
      <c r="CD23" s="5">
        <f t="shared" si="48"/>
        <v>224.69725</v>
      </c>
      <c r="CE23" s="5">
        <f t="shared" si="49"/>
        <v>9212.587249999999</v>
      </c>
      <c r="CF23" s="35">
        <f t="shared" si="50"/>
        <v>661.6720051</v>
      </c>
      <c r="CG23" s="35">
        <f t="shared" si="51"/>
        <v>6.8751029</v>
      </c>
      <c r="CH23"/>
      <c r="CI23" s="5">
        <f t="shared" si="124"/>
        <v>1123.22</v>
      </c>
      <c r="CJ23" s="5">
        <f t="shared" si="52"/>
        <v>28.0805</v>
      </c>
      <c r="CK23" s="5">
        <f t="shared" si="53"/>
        <v>1151.3005</v>
      </c>
      <c r="CL23" s="35">
        <f t="shared" si="54"/>
        <v>82.6893998</v>
      </c>
      <c r="CM23" s="35">
        <f t="shared" si="55"/>
        <v>0.8591842</v>
      </c>
      <c r="CN23"/>
      <c r="CO23" s="5">
        <f t="shared" si="125"/>
        <v>1014.59</v>
      </c>
      <c r="CP23" s="5">
        <f t="shared" si="56"/>
        <v>25.36475</v>
      </c>
      <c r="CQ23" s="5">
        <f t="shared" si="57"/>
        <v>1039.95475</v>
      </c>
      <c r="CR23" s="35">
        <f t="shared" si="58"/>
        <v>74.6922581</v>
      </c>
      <c r="CS23" s="35">
        <f t="shared" si="59"/>
        <v>0.7760899</v>
      </c>
      <c r="CT23"/>
      <c r="CU23" s="5">
        <f t="shared" si="126"/>
        <v>25227.01</v>
      </c>
      <c r="CV23" s="5">
        <f t="shared" si="60"/>
        <v>630.67525</v>
      </c>
      <c r="CW23" s="5">
        <f t="shared" si="61"/>
        <v>25857.68525</v>
      </c>
      <c r="CX23" s="35">
        <f t="shared" si="62"/>
        <v>1857.1662859</v>
      </c>
      <c r="CY23" s="35">
        <f t="shared" si="63"/>
        <v>19.296886100000002</v>
      </c>
      <c r="CZ23"/>
      <c r="DA23" s="5">
        <f t="shared" si="127"/>
        <v>1958.1799999999998</v>
      </c>
      <c r="DB23" s="5">
        <f t="shared" si="64"/>
        <v>48.954499999999996</v>
      </c>
      <c r="DC23" s="5">
        <f t="shared" si="65"/>
        <v>2007.1345</v>
      </c>
      <c r="DD23" s="35">
        <f t="shared" si="66"/>
        <v>144.15762619999998</v>
      </c>
      <c r="DE23" s="35">
        <f t="shared" si="67"/>
        <v>1.4978698</v>
      </c>
      <c r="DF23"/>
      <c r="DG23" s="5">
        <f t="shared" si="128"/>
        <v>15488.65</v>
      </c>
      <c r="DH23" s="5">
        <f t="shared" si="68"/>
        <v>387.21624999999995</v>
      </c>
      <c r="DI23" s="35">
        <f t="shared" si="69"/>
        <v>15875.86625</v>
      </c>
      <c r="DJ23" s="35">
        <f t="shared" si="70"/>
        <v>1140.2460535</v>
      </c>
      <c r="DK23" s="35">
        <f t="shared" si="71"/>
        <v>11.847726499999998</v>
      </c>
      <c r="DM23" s="5">
        <f t="shared" si="129"/>
        <v>79975.11</v>
      </c>
      <c r="DN23" s="5">
        <f t="shared" si="72"/>
        <v>1999.37775</v>
      </c>
      <c r="DO23" s="5">
        <f t="shared" si="73"/>
        <v>81974.48775</v>
      </c>
      <c r="DP23" s="35">
        <f t="shared" si="74"/>
        <v>5887.621164900001</v>
      </c>
      <c r="DQ23" s="35">
        <f t="shared" si="75"/>
        <v>61.175327100000004</v>
      </c>
      <c r="DS23" s="5">
        <f t="shared" si="130"/>
        <v>6345.2699999999995</v>
      </c>
      <c r="DT23" s="5">
        <f t="shared" si="76"/>
        <v>158.63175</v>
      </c>
      <c r="DU23" s="5">
        <f t="shared" si="77"/>
        <v>6503.901749999999</v>
      </c>
      <c r="DV23" s="35">
        <f t="shared" si="78"/>
        <v>467.1271593</v>
      </c>
      <c r="DW23" s="35">
        <f t="shared" si="79"/>
        <v>4.8536847</v>
      </c>
      <c r="DY23" s="5">
        <f t="shared" si="131"/>
        <v>17227.44</v>
      </c>
      <c r="DZ23" s="5">
        <f t="shared" si="80"/>
        <v>430.686</v>
      </c>
      <c r="EA23" s="5">
        <f t="shared" si="81"/>
        <v>17658.126</v>
      </c>
      <c r="EB23" s="35">
        <f t="shared" si="82"/>
        <v>1268.2525896</v>
      </c>
      <c r="EC23" s="35">
        <f t="shared" si="83"/>
        <v>13.1777784</v>
      </c>
      <c r="EE23" s="5">
        <f t="shared" si="132"/>
        <v>19317.68</v>
      </c>
      <c r="EF23" s="5">
        <f t="shared" si="84"/>
        <v>482.94200000000006</v>
      </c>
      <c r="EG23" s="35">
        <f t="shared" si="85"/>
        <v>19800.622</v>
      </c>
      <c r="EH23" s="35">
        <f t="shared" si="86"/>
        <v>1422.1322312000002</v>
      </c>
      <c r="EI23" s="35">
        <f t="shared" si="87"/>
        <v>14.7766648</v>
      </c>
      <c r="EK23" s="5">
        <f t="shared" si="133"/>
        <v>48674.049999999996</v>
      </c>
      <c r="EL23" s="5">
        <f t="shared" si="88"/>
        <v>1216.85125</v>
      </c>
      <c r="EM23" s="35">
        <f t="shared" si="89"/>
        <v>49890.901249999995</v>
      </c>
      <c r="EN23" s="35">
        <f t="shared" si="90"/>
        <v>3583.2944395</v>
      </c>
      <c r="EO23" s="35">
        <f t="shared" si="91"/>
        <v>37.2322205</v>
      </c>
      <c r="EQ23" s="5">
        <f t="shared" si="134"/>
        <v>74782.17</v>
      </c>
      <c r="ER23" s="5">
        <f t="shared" si="92"/>
        <v>1869.5542500000001</v>
      </c>
      <c r="ES23" s="35">
        <f t="shared" si="93"/>
        <v>76651.72425</v>
      </c>
      <c r="ET23" s="35">
        <f t="shared" si="94"/>
        <v>5505.3264303000005</v>
      </c>
      <c r="EU23" s="35">
        <f t="shared" si="95"/>
        <v>57.203093700000004</v>
      </c>
      <c r="EW23" s="5">
        <f t="shared" si="135"/>
        <v>354502.29</v>
      </c>
      <c r="EX23" s="5">
        <f t="shared" si="96"/>
        <v>8862.55725</v>
      </c>
      <c r="EY23" s="5">
        <f t="shared" si="97"/>
        <v>363364.84725</v>
      </c>
      <c r="EZ23" s="35">
        <f t="shared" si="98"/>
        <v>26097.8095011</v>
      </c>
      <c r="FA23" s="35">
        <f t="shared" si="99"/>
        <v>271.1692869</v>
      </c>
      <c r="FC23" s="5">
        <f t="shared" si="136"/>
        <v>299865.66</v>
      </c>
      <c r="FD23" s="5">
        <f t="shared" si="100"/>
        <v>7496.6415</v>
      </c>
      <c r="FE23" s="5">
        <f t="shared" si="101"/>
        <v>307362.3015</v>
      </c>
      <c r="FF23" s="35">
        <f t="shared" si="102"/>
        <v>22075.560839399997</v>
      </c>
      <c r="FG23" s="35">
        <f t="shared" si="103"/>
        <v>229.37611259999997</v>
      </c>
      <c r="FI23" s="5">
        <f t="shared" si="137"/>
        <v>1881.5</v>
      </c>
      <c r="FJ23" s="5">
        <f t="shared" si="104"/>
        <v>47.0375</v>
      </c>
      <c r="FK23" s="5">
        <f t="shared" si="105"/>
        <v>1928.5375</v>
      </c>
      <c r="FL23" s="35">
        <f t="shared" si="106"/>
        <v>138.512585</v>
      </c>
      <c r="FM23" s="35">
        <f t="shared" si="107"/>
        <v>1.439215</v>
      </c>
      <c r="FO23" s="5">
        <f t="shared" si="138"/>
        <v>5298.73</v>
      </c>
      <c r="FP23" s="5">
        <f t="shared" si="108"/>
        <v>132.46824999999998</v>
      </c>
      <c r="FQ23" s="5">
        <f t="shared" si="109"/>
        <v>5431.1982499999995</v>
      </c>
      <c r="FR23" s="35">
        <f t="shared" si="110"/>
        <v>390.0828007</v>
      </c>
      <c r="FS23" s="35">
        <f t="shared" si="111"/>
        <v>4.0531553</v>
      </c>
    </row>
    <row r="24" spans="2:112" ht="12.75">
      <c r="B24" s="33"/>
      <c r="C24" s="34"/>
      <c r="D24" s="34"/>
      <c r="E24" s="34"/>
      <c r="F24" s="34"/>
      <c r="G24" s="34"/>
      <c r="I24"/>
      <c r="J24"/>
      <c r="K24"/>
      <c r="L24"/>
      <c r="M24"/>
      <c r="N24"/>
      <c r="O24"/>
      <c r="P24"/>
      <c r="Q24"/>
      <c r="T24"/>
      <c r="U24"/>
      <c r="V24"/>
      <c r="W24"/>
      <c r="AA24"/>
      <c r="AB24"/>
      <c r="AC24"/>
      <c r="AF24"/>
      <c r="AG24"/>
      <c r="AH24"/>
      <c r="AI24"/>
      <c r="AL24"/>
      <c r="AM24"/>
      <c r="AN24"/>
      <c r="AO24"/>
      <c r="AR24"/>
      <c r="AS24"/>
      <c r="AT24"/>
      <c r="AX24"/>
      <c r="AY24"/>
      <c r="AZ24"/>
      <c r="BA24"/>
      <c r="BD24"/>
      <c r="BE24"/>
      <c r="BF24"/>
      <c r="BG24"/>
      <c r="BJ24"/>
      <c r="BK24"/>
      <c r="BL24"/>
      <c r="BM24"/>
      <c r="BP24"/>
      <c r="BQ24"/>
      <c r="BR24"/>
      <c r="BS24"/>
      <c r="BV24"/>
      <c r="BW24"/>
      <c r="BX24"/>
      <c r="BY24"/>
      <c r="CB24"/>
      <c r="CC24"/>
      <c r="CD24"/>
      <c r="CE24"/>
      <c r="CH24"/>
      <c r="CI24"/>
      <c r="CJ24"/>
      <c r="CK24"/>
      <c r="CN24"/>
      <c r="CO24"/>
      <c r="CP24"/>
      <c r="CQ24"/>
      <c r="CT24"/>
      <c r="CU24"/>
      <c r="CV24"/>
      <c r="CW24"/>
      <c r="CZ24"/>
      <c r="DA24"/>
      <c r="DB24"/>
      <c r="DC24"/>
      <c r="DF24"/>
      <c r="DG24"/>
      <c r="DH24"/>
    </row>
    <row r="25" spans="1:175" ht="13.5" thickBot="1">
      <c r="A25" s="37" t="s">
        <v>18</v>
      </c>
      <c r="C25" s="38">
        <f>SUM(C8:C24)</f>
        <v>48720000</v>
      </c>
      <c r="D25" s="38">
        <f>SUM(D8:D24)</f>
        <v>11189050</v>
      </c>
      <c r="E25" s="38">
        <f>SUM(E8:E24)</f>
        <v>59909050</v>
      </c>
      <c r="F25" s="38">
        <f>SUM(F8:F24)</f>
        <v>8363024</v>
      </c>
      <c r="G25" s="38">
        <f>SUM(G8:G24)</f>
        <v>86896</v>
      </c>
      <c r="I25" s="38">
        <f>SUM(I8:I24)</f>
        <v>10875814.319999998</v>
      </c>
      <c r="J25" s="38">
        <f>SUM(J8:J24)</f>
        <v>2497742.8205500003</v>
      </c>
      <c r="K25" s="38">
        <f>SUM(K8:K24)</f>
        <v>13373557.140550002</v>
      </c>
      <c r="L25" s="38">
        <f>SUM(L8:L24)</f>
        <v>1866886.2105440006</v>
      </c>
      <c r="M25" s="38">
        <f>SUM(M8:M24)</f>
        <v>19397.880976000004</v>
      </c>
      <c r="O25" s="38">
        <f>SUM(O8:O24)</f>
        <v>2280178.824</v>
      </c>
      <c r="P25" s="38">
        <f>SUM(P8:P24)</f>
        <v>523666.561385</v>
      </c>
      <c r="Q25" s="38">
        <f>SUM(Q8:Q24)</f>
        <v>2803845.3853850006</v>
      </c>
      <c r="R25" s="38">
        <f>SUM(R8:R24)</f>
        <v>391403.7403408</v>
      </c>
      <c r="S25" s="38">
        <f>SUM(S8:S24)</f>
        <v>4066.880523200001</v>
      </c>
      <c r="U25" s="38">
        <f>SUM(U8:U24)</f>
        <v>317347.46400000004</v>
      </c>
      <c r="V25" s="38">
        <f>SUM(V8:V24)</f>
        <v>72882.114985</v>
      </c>
      <c r="W25" s="38">
        <f>SUM(W8:W24)</f>
        <v>390229.57898500003</v>
      </c>
      <c r="X25" s="38">
        <f>SUM(X8:X24)</f>
        <v>54474.22942880001</v>
      </c>
      <c r="Y25" s="38">
        <f>SUM(Y8:Y24)</f>
        <v>566.0144751999999</v>
      </c>
      <c r="Z25" s="34"/>
      <c r="AA25" s="38">
        <f>SUM(AA8:AA24)</f>
        <v>45601.92</v>
      </c>
      <c r="AB25" s="38">
        <f>SUM(AB8:AB24)</f>
        <v>10472.950799999995</v>
      </c>
      <c r="AC25" s="38">
        <f>SUM(AC8:AC24)</f>
        <v>56074.8708</v>
      </c>
      <c r="AD25" s="38">
        <f>SUM(AD8:AD24)</f>
        <v>7827.7904640000015</v>
      </c>
      <c r="AE25" s="38">
        <f>SUM(AE8:AE24)</f>
        <v>81.334656</v>
      </c>
      <c r="AG25" s="38">
        <f>SUM(AG8:AG24)</f>
        <v>268354.632</v>
      </c>
      <c r="AH25" s="38">
        <f>SUM(AH8:AH24)</f>
        <v>61630.406305</v>
      </c>
      <c r="AI25" s="38">
        <f>SUM(AI8:AI24)</f>
        <v>329985.038305</v>
      </c>
      <c r="AJ25" s="38">
        <f>SUM(AJ8:AJ24)</f>
        <v>46064.372494400006</v>
      </c>
      <c r="AK25" s="38">
        <f>SUM(AK8:AK24)</f>
        <v>478.6318576000001</v>
      </c>
      <c r="AM25" s="38">
        <f>SUM(AM8:AM24)</f>
        <v>119232.456</v>
      </c>
      <c r="AN25" s="38">
        <f>SUM(AN8:AN24)</f>
        <v>27382.962065</v>
      </c>
      <c r="AO25" s="38">
        <f>SUM(AO8:AO24)</f>
        <v>146615.41806499998</v>
      </c>
      <c r="AP25" s="38">
        <f>SUM(AP8:AP24)</f>
        <v>20466.828635199992</v>
      </c>
      <c r="AQ25" s="38">
        <f>SUM(AQ8:AQ24)</f>
        <v>212.66058079999996</v>
      </c>
      <c r="AS25" s="38">
        <f>SUM(AS8:AS24)</f>
        <v>75803.448</v>
      </c>
      <c r="AT25" s="38">
        <f>SUM(AT8:AT24)</f>
        <v>17409.042895</v>
      </c>
      <c r="AU25" s="38">
        <f>SUM(AU8:AU24)</f>
        <v>93212.490895</v>
      </c>
      <c r="AV25" s="38">
        <f>SUM(AV8:AV24)</f>
        <v>13012.029041600004</v>
      </c>
      <c r="AW25" s="38">
        <f>SUM(AW8:AW24)</f>
        <v>135.2014864</v>
      </c>
      <c r="AY25" s="38">
        <f>SUM(AY8:AY24)</f>
        <v>204550.91999999998</v>
      </c>
      <c r="AZ25" s="38">
        <f>SUM(AZ8:AZ24)</f>
        <v>46977.22642500001</v>
      </c>
      <c r="BA25" s="38">
        <f>SUM(BA8:BA24)</f>
        <v>251528.14642499998</v>
      </c>
      <c r="BB25" s="38">
        <f>SUM(BB8:BB24)</f>
        <v>35112.156264</v>
      </c>
      <c r="BC25" s="38">
        <f>SUM(BC8:BC24)</f>
        <v>364.832856</v>
      </c>
      <c r="BE25" s="38">
        <f>SUM(BE8:BE24)</f>
        <v>38.976</v>
      </c>
      <c r="BF25" s="38">
        <f>SUM(BF8:BF24)</f>
        <v>8.951239999999999</v>
      </c>
      <c r="BG25" s="38">
        <f>SUM(BG8:BG24)</f>
        <v>47.92724000000001</v>
      </c>
      <c r="BH25" s="38">
        <f>SUM(BH8:BH24)</f>
        <v>6.690419199999997</v>
      </c>
      <c r="BI25" s="38">
        <f>SUM(BI8:BI24)</f>
        <v>0.06951680000000002</v>
      </c>
      <c r="BK25" s="38">
        <f>SUM(BK8:BK24)</f>
        <v>126540.456</v>
      </c>
      <c r="BL25" s="38">
        <f>SUM(BL8:BL24)</f>
        <v>29061.319564999998</v>
      </c>
      <c r="BM25" s="38">
        <f>SUM(BM8:BM24)</f>
        <v>155601.77556499996</v>
      </c>
      <c r="BN25" s="38">
        <f>SUM(BN8:BN24)</f>
        <v>21721.282235199997</v>
      </c>
      <c r="BO25" s="38">
        <f>SUM(BO8:BO24)</f>
        <v>225.69498079999997</v>
      </c>
      <c r="BQ25" s="38">
        <f>SUM(BQ8:BQ24)</f>
        <v>232925.44800000003</v>
      </c>
      <c r="BR25" s="38">
        <f>SUM(BR8:BR24)</f>
        <v>53493.729145000005</v>
      </c>
      <c r="BS25" s="38">
        <f>SUM(BS8:BS24)</f>
        <v>286419.177145</v>
      </c>
      <c r="BT25" s="38">
        <f>SUM(BT8:BT24)</f>
        <v>39982.781441600004</v>
      </c>
      <c r="BU25" s="38">
        <f>SUM(BU8:BU24)</f>
        <v>415.4410864000001</v>
      </c>
      <c r="BW25" s="38">
        <f>SUM(BW8:BW24)</f>
        <v>606291.1680000001</v>
      </c>
      <c r="BX25" s="38">
        <f>SUM(BX8:BX24)</f>
        <v>139241.01381999996</v>
      </c>
      <c r="BY25" s="38">
        <f>SUM(BY8:BY24)</f>
        <v>745532.18182</v>
      </c>
      <c r="BZ25" s="38">
        <f>SUM(BZ8:BZ24)</f>
        <v>104072.8158656</v>
      </c>
      <c r="CA25" s="38">
        <f>SUM(CA8:CA24)</f>
        <v>1081.3685824000002</v>
      </c>
      <c r="CC25" s="38">
        <f>SUM(CC8:CC24)</f>
        <v>61674.648</v>
      </c>
      <c r="CD25" s="38">
        <f>SUM(CD8:CD24)</f>
        <v>14164.218394999996</v>
      </c>
      <c r="CE25" s="38">
        <f>SUM(CE8:CE24)</f>
        <v>75838.86639499999</v>
      </c>
      <c r="CF25" s="38">
        <f>SUM(CF8:CF24)</f>
        <v>10586.7520816</v>
      </c>
      <c r="CG25" s="38">
        <f>SUM(CG8:CG24)</f>
        <v>110.00164640000001</v>
      </c>
      <c r="CI25" s="38">
        <f>SUM(CI8:CI24)</f>
        <v>7707.504</v>
      </c>
      <c r="CJ25" s="38">
        <f>SUM(CJ8:CJ24)</f>
        <v>1770.1077099999998</v>
      </c>
      <c r="CK25" s="38">
        <f>SUM(CK8:CK24)</f>
        <v>9477.61171</v>
      </c>
      <c r="CL25" s="38">
        <f>SUM(CL8:CL24)</f>
        <v>1323.0303968000003</v>
      </c>
      <c r="CM25" s="38">
        <f>SUM(CM8:CM24)</f>
        <v>13.746947199999996</v>
      </c>
      <c r="CO25" s="38">
        <f>SUM(CO8:CO24)</f>
        <v>6962.088000000001</v>
      </c>
      <c r="CP25" s="38">
        <f>SUM(CP8:CP24)</f>
        <v>1598.9152450000004</v>
      </c>
      <c r="CQ25" s="38">
        <f>SUM(CQ8:CQ24)</f>
        <v>8561.003245000002</v>
      </c>
      <c r="CR25" s="38">
        <f>SUM(CR8:CR24)</f>
        <v>1195.0761296</v>
      </c>
      <c r="CS25" s="38">
        <f>SUM(CS8:CS24)</f>
        <v>12.417438400000002</v>
      </c>
      <c r="CU25" s="38">
        <f>SUM(CU8:CU24)</f>
        <v>173107.032</v>
      </c>
      <c r="CV25" s="38">
        <f>SUM(CV8:CV24)</f>
        <v>39755.813555</v>
      </c>
      <c r="CW25" s="38">
        <f>SUM(CW8:CW24)</f>
        <v>212862.845555</v>
      </c>
      <c r="CX25" s="38">
        <f>SUM(CX8:CX24)</f>
        <v>29714.660574399993</v>
      </c>
      <c r="CY25" s="38">
        <f>SUM(CY8:CY24)</f>
        <v>308.7501776</v>
      </c>
      <c r="DA25" s="38">
        <f>SUM(DA8:DA24)</f>
        <v>13436.976</v>
      </c>
      <c r="DB25" s="38">
        <f>SUM(DB8:DB24)</f>
        <v>3085.9399899999994</v>
      </c>
      <c r="DC25" s="38">
        <f>SUM(DC8:DC24)</f>
        <v>16522.915989999998</v>
      </c>
      <c r="DD25" s="38">
        <f>SUM(DD8:DD24)</f>
        <v>2306.522019199999</v>
      </c>
      <c r="DE25" s="38">
        <f>SUM(DE8:DE24)</f>
        <v>23.9659168</v>
      </c>
      <c r="DG25" s="38">
        <f>SUM(DG8:DG24)</f>
        <v>106282.68</v>
      </c>
      <c r="DH25" s="38">
        <f>SUM(DH8:DH24)</f>
        <v>24408.912575000002</v>
      </c>
      <c r="DI25" s="38">
        <f>SUM(DI8:DI24)</f>
        <v>130691.59257499999</v>
      </c>
      <c r="DJ25" s="38">
        <f>SUM(DJ8:DJ24)</f>
        <v>18243.936855999993</v>
      </c>
      <c r="DK25" s="38">
        <f>SUM(DK8:DK24)</f>
        <v>189.56362399999992</v>
      </c>
      <c r="DM25" s="38">
        <f>SUM(DM8:DM24)</f>
        <v>548786.952</v>
      </c>
      <c r="DN25" s="38">
        <f>SUM(DN8:DN24)</f>
        <v>126034.57810499996</v>
      </c>
      <c r="DO25" s="38">
        <f>SUM(DO8:DO24)</f>
        <v>674821.530105</v>
      </c>
      <c r="DP25" s="38">
        <f>SUM(DP8:DP24)</f>
        <v>94201.93863840004</v>
      </c>
      <c r="DQ25" s="38">
        <f>SUM(DQ8:DQ24)</f>
        <v>978.8052336000001</v>
      </c>
      <c r="DS25" s="38">
        <f>SUM(DS8:DS24)</f>
        <v>43541.06399999999</v>
      </c>
      <c r="DT25" s="38">
        <f>SUM(DT8:DT24)</f>
        <v>9999.653985</v>
      </c>
      <c r="DU25" s="38">
        <f>SUM(DU8:DU24)</f>
        <v>53540.717984999996</v>
      </c>
      <c r="DV25" s="38">
        <f>SUM(DV8:DV24)</f>
        <v>7474.034548800001</v>
      </c>
      <c r="DW25" s="38">
        <f>SUM(DW8:DW24)</f>
        <v>77.65895520000001</v>
      </c>
      <c r="DY25" s="38">
        <f>SUM(DY8:DY24)</f>
        <v>118214.208</v>
      </c>
      <c r="DZ25" s="38">
        <f>SUM(DZ8:DZ24)</f>
        <v>27149.11092</v>
      </c>
      <c r="EA25" s="38">
        <f>SUM(EA8:EA24)</f>
        <v>145363.31892</v>
      </c>
      <c r="EB25" s="38">
        <f>SUM(EB8:EB24)</f>
        <v>20292.041433600003</v>
      </c>
      <c r="EC25" s="38">
        <f>SUM(EC8:EC24)</f>
        <v>210.84445439999993</v>
      </c>
      <c r="EE25" s="38">
        <f>SUM(EE8:EE24)</f>
        <v>132557.376</v>
      </c>
      <c r="EF25" s="38">
        <f>SUM(EF8:EF24)</f>
        <v>30443.167240000002</v>
      </c>
      <c r="EG25" s="38">
        <f>SUM(EG8:EG24)</f>
        <v>163000.54324000003</v>
      </c>
      <c r="EH25" s="38">
        <f>SUM(EH8:EH24)</f>
        <v>22754.11569920001</v>
      </c>
      <c r="EI25" s="38">
        <f>SUM(EI8:EI24)</f>
        <v>236.42663679999995</v>
      </c>
      <c r="EK25" s="38">
        <f>SUM(EK8:EK24)</f>
        <v>333999.95999999996</v>
      </c>
      <c r="EL25" s="38">
        <f>SUM(EL8:EL24)</f>
        <v>76706.532275</v>
      </c>
      <c r="EM25" s="38">
        <f>SUM(EM8:EM24)</f>
        <v>410706.49227499997</v>
      </c>
      <c r="EN25" s="38">
        <f>SUM(EN8:EN24)</f>
        <v>57332.711032000014</v>
      </c>
      <c r="EO25" s="38">
        <f>SUM(EO8:EO24)</f>
        <v>595.715528</v>
      </c>
      <c r="EQ25" s="38">
        <f>SUM(EQ8:EQ24)</f>
        <v>513153.14400000003</v>
      </c>
      <c r="ER25" s="38">
        <f>SUM(ER8:ER24)</f>
        <v>117850.906935</v>
      </c>
      <c r="ES25" s="38">
        <f>SUM(ES8:ES24)</f>
        <v>631004.0509350001</v>
      </c>
      <c r="ET25" s="38">
        <f>SUM(ET8:ET24)</f>
        <v>88085.22288480004</v>
      </c>
      <c r="EU25" s="38">
        <f>SUM(EU8:EU24)</f>
        <v>915.2494991999997</v>
      </c>
      <c r="EW25" s="38">
        <f>SUM(EW8:EW24)</f>
        <v>2432584.7279999997</v>
      </c>
      <c r="EX25" s="38">
        <f>SUM(EX8:EX24)</f>
        <v>558668.1475949999</v>
      </c>
      <c r="EY25" s="38">
        <f>SUM(EY8:EY24)</f>
        <v>2991252.8755950006</v>
      </c>
      <c r="EZ25" s="38">
        <f>SUM(EZ8:EZ24)</f>
        <v>417564.95201759995</v>
      </c>
      <c r="FA25" s="38">
        <f>SUM(FA8:FA24)</f>
        <v>4338.708590399999</v>
      </c>
      <c r="FC25" s="38">
        <f>SUM(FC8:FC24)</f>
        <v>2057669.712</v>
      </c>
      <c r="FD25" s="38">
        <f>SUM(FD8:FD24)</f>
        <v>472565.05113</v>
      </c>
      <c r="FE25" s="38">
        <f>SUM(FE8:FE24)</f>
        <v>2530234.7631300003</v>
      </c>
      <c r="FF25" s="38">
        <f>SUM(FF8:FF24)</f>
        <v>353208.97343039984</v>
      </c>
      <c r="FG25" s="38">
        <f>SUM(FG8:FG24)</f>
        <v>3670.0178015999995</v>
      </c>
      <c r="FI25" s="38">
        <f>SUM(FI8:FI24)</f>
        <v>12910.8</v>
      </c>
      <c r="FJ25" s="38">
        <f>SUM(FJ8:FJ24)</f>
        <v>2965.09825</v>
      </c>
      <c r="FK25" s="38">
        <f>SUM(FK8:FK24)</f>
        <v>15875.89825</v>
      </c>
      <c r="FL25" s="38">
        <f>SUM(FL8:FL24)</f>
        <v>2216.2013599999996</v>
      </c>
      <c r="FM25" s="38">
        <f>SUM(FM8:FM24)</f>
        <v>23.027440000000006</v>
      </c>
      <c r="FO25" s="38">
        <f>SUM(FO8:FO24)</f>
        <v>36359.736</v>
      </c>
      <c r="FP25" s="38">
        <f>SUM(FP8:FP24)</f>
        <v>8350.388015</v>
      </c>
      <c r="FQ25" s="38">
        <f>SUM(FQ8:FQ24)</f>
        <v>44710.124014999994</v>
      </c>
      <c r="FR25" s="38">
        <f>SUM(FR8:FR24)</f>
        <v>6241.3248112</v>
      </c>
      <c r="FS25" s="38">
        <f>SUM(FS8:FS24)</f>
        <v>64.8504848</v>
      </c>
    </row>
    <row r="26" spans="9:112" ht="13.5" thickTop="1"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</row>
    <row r="27" spans="9:112" ht="12.75"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</row>
    <row r="28" spans="9:112" ht="12.75"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</row>
    <row r="29" spans="9:112" ht="12.75"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</row>
    <row r="30" spans="9:112" ht="12.75"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</row>
    <row r="31" spans="9:112" ht="12.75"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</row>
    <row r="32" spans="9:112" ht="12.75"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</row>
    <row r="33" spans="1:112" ht="12.75">
      <c r="A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</row>
    <row r="34" spans="1:112" ht="12.75">
      <c r="A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</row>
    <row r="35" spans="1:112" ht="12.75">
      <c r="A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</row>
    <row r="36" spans="1:112" ht="12.75">
      <c r="A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</row>
    <row r="37" spans="1:112" ht="12.75">
      <c r="A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</row>
    <row r="38" spans="1:112" ht="12.75">
      <c r="A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</row>
    <row r="39" spans="1:7" ht="12.75">
      <c r="A39"/>
      <c r="C39"/>
      <c r="D39"/>
      <c r="E39"/>
      <c r="F39"/>
      <c r="G39"/>
    </row>
    <row r="40" spans="1:7" ht="12.75">
      <c r="A40"/>
      <c r="C40"/>
      <c r="D40"/>
      <c r="E40"/>
      <c r="F40"/>
      <c r="G40"/>
    </row>
    <row r="41" spans="1:7" ht="12.75">
      <c r="A41"/>
      <c r="C41"/>
      <c r="D41"/>
      <c r="E41"/>
      <c r="F41"/>
      <c r="G41"/>
    </row>
    <row r="42" spans="1:7" ht="12.75">
      <c r="A42"/>
      <c r="C42"/>
      <c r="D42"/>
      <c r="E42"/>
      <c r="F42"/>
      <c r="G42"/>
    </row>
    <row r="43" spans="1:7" ht="12.75">
      <c r="A43"/>
      <c r="C43"/>
      <c r="D43"/>
      <c r="E43"/>
      <c r="F43"/>
      <c r="G43"/>
    </row>
    <row r="44" spans="1:7" ht="12.75">
      <c r="A44"/>
      <c r="C44"/>
      <c r="D44"/>
      <c r="E44"/>
      <c r="F44"/>
      <c r="G44"/>
    </row>
    <row r="45" spans="1:7" ht="12.75">
      <c r="A45"/>
      <c r="C45"/>
      <c r="D45"/>
      <c r="E45"/>
      <c r="F45"/>
      <c r="G45"/>
    </row>
    <row r="46" spans="1:7" ht="12.75">
      <c r="A46"/>
      <c r="C46"/>
      <c r="D46"/>
      <c r="E46"/>
      <c r="F46"/>
      <c r="G46"/>
    </row>
    <row r="47" spans="1:7" ht="12.75">
      <c r="A47"/>
      <c r="C47"/>
      <c r="D47"/>
      <c r="E47"/>
      <c r="F47"/>
      <c r="G47"/>
    </row>
    <row r="48" spans="1:7" ht="12.75">
      <c r="A48"/>
      <c r="C48"/>
      <c r="D48"/>
      <c r="E48"/>
      <c r="F48"/>
      <c r="G48"/>
    </row>
    <row r="49" spans="1:7" ht="12.75">
      <c r="A49"/>
      <c r="C49"/>
      <c r="D49"/>
      <c r="E49"/>
      <c r="F49"/>
      <c r="G49"/>
    </row>
    <row r="50" spans="1:7" ht="12.75">
      <c r="A50"/>
      <c r="C50"/>
      <c r="D50"/>
      <c r="E50"/>
      <c r="F50"/>
      <c r="G50"/>
    </row>
    <row r="51" spans="1:7" ht="12.75">
      <c r="A51"/>
      <c r="C51"/>
      <c r="D51"/>
      <c r="E51"/>
      <c r="F51"/>
      <c r="G51"/>
    </row>
    <row r="52" spans="1:7" ht="12.75">
      <c r="A52"/>
      <c r="C52"/>
      <c r="D52"/>
      <c r="E52"/>
      <c r="F52"/>
      <c r="G52"/>
    </row>
    <row r="53" spans="1:7" ht="12.75">
      <c r="A53"/>
      <c r="C53"/>
      <c r="D53"/>
      <c r="E53"/>
      <c r="F53"/>
      <c r="G53"/>
    </row>
    <row r="54" spans="1:7" ht="12.75">
      <c r="A54"/>
      <c r="C54"/>
      <c r="D54"/>
      <c r="E54"/>
      <c r="F54"/>
      <c r="G54"/>
    </row>
    <row r="55" spans="1:7" ht="12.75">
      <c r="A55"/>
      <c r="C55"/>
      <c r="D55"/>
      <c r="E55"/>
      <c r="F55"/>
      <c r="G55"/>
    </row>
    <row r="56" spans="1:7" ht="12.75">
      <c r="A56"/>
      <c r="C56"/>
      <c r="D56"/>
      <c r="E56"/>
      <c r="F56"/>
      <c r="G56"/>
    </row>
    <row r="57" spans="1:7" ht="12.75">
      <c r="A57"/>
      <c r="C57"/>
      <c r="D57"/>
      <c r="E57"/>
      <c r="F57"/>
      <c r="G57"/>
    </row>
    <row r="58" spans="1:7" ht="12.75">
      <c r="A58"/>
      <c r="C58"/>
      <c r="D58"/>
      <c r="E58"/>
      <c r="F58"/>
      <c r="G58"/>
    </row>
    <row r="59" spans="1:7" ht="12.75">
      <c r="A59"/>
      <c r="C59"/>
      <c r="D59"/>
      <c r="E59"/>
      <c r="F59"/>
      <c r="G59"/>
    </row>
    <row r="60" spans="3:7" ht="12.75">
      <c r="C60"/>
      <c r="D60"/>
      <c r="E60"/>
      <c r="F60"/>
      <c r="G60"/>
    </row>
    <row r="61" spans="3:7" ht="12.75">
      <c r="C61"/>
      <c r="D61"/>
      <c r="E61"/>
      <c r="F61"/>
      <c r="G61"/>
    </row>
    <row r="62" spans="3:7" ht="12.75">
      <c r="C62"/>
      <c r="D62"/>
      <c r="E62"/>
      <c r="F62"/>
      <c r="G62"/>
    </row>
    <row r="63" spans="3:7" ht="12.75">
      <c r="C63"/>
      <c r="D63"/>
      <c r="E63"/>
      <c r="F63"/>
      <c r="G63"/>
    </row>
    <row r="64" spans="3:7" ht="12.75">
      <c r="C64"/>
      <c r="D64"/>
      <c r="E64"/>
      <c r="F64"/>
      <c r="G64"/>
    </row>
    <row r="65" spans="3:7" ht="12.75">
      <c r="C65"/>
      <c r="D65"/>
      <c r="E65"/>
      <c r="F65"/>
      <c r="G65"/>
    </row>
  </sheetData>
  <sheetProtection/>
  <printOptions/>
  <pageMargins left="0.7" right="0.7" top="0.75" bottom="0.75" header="0.3" footer="0.3"/>
  <pageSetup horizontalDpi="600" verticalDpi="600" orientation="landscape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pane xSplit="3" ySplit="4" topLeftCell="P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9" sqref="R9"/>
    </sheetView>
  </sheetViews>
  <sheetFormatPr defaultColWidth="8.7109375" defaultRowHeight="12.75"/>
  <cols>
    <col min="1" max="1" width="7.7109375" style="0" customWidth="1"/>
    <col min="2" max="2" width="15.7109375" style="0" customWidth="1"/>
    <col min="3" max="3" width="36.7109375" style="0" customWidth="1"/>
    <col min="4" max="4" width="14.7109375" style="48" customWidth="1"/>
    <col min="5" max="5" width="13.7109375" style="48" customWidth="1"/>
    <col min="6" max="6" width="12.7109375" style="48" customWidth="1"/>
    <col min="7" max="8" width="10.7109375" style="48" customWidth="1"/>
    <col min="9" max="9" width="13.7109375" style="48" customWidth="1"/>
    <col min="10" max="10" width="10.7109375" style="48" customWidth="1"/>
    <col min="11" max="13" width="12.7109375" style="48" customWidth="1"/>
    <col min="14" max="16" width="13.7109375" style="48" customWidth="1"/>
    <col min="17" max="17" width="10.7109375" style="48" customWidth="1"/>
    <col min="18" max="18" width="12.7109375" style="8" customWidth="1"/>
    <col min="19" max="19" width="12.7109375" style="0" customWidth="1"/>
  </cols>
  <sheetData>
    <row r="1" ht="12.75">
      <c r="A1" s="47" t="s">
        <v>114</v>
      </c>
    </row>
    <row r="3" spans="1:18" ht="12.75">
      <c r="A3" s="49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 t="s">
        <v>32</v>
      </c>
    </row>
    <row r="4" spans="1:18" ht="12.75">
      <c r="A4" s="52" t="s">
        <v>33</v>
      </c>
      <c r="B4" s="52" t="s">
        <v>34</v>
      </c>
      <c r="C4" s="52" t="s">
        <v>35</v>
      </c>
      <c r="D4" s="53" t="s">
        <v>18</v>
      </c>
      <c r="E4" s="53" t="s">
        <v>36</v>
      </c>
      <c r="F4" s="53" t="s">
        <v>37</v>
      </c>
      <c r="G4" s="53" t="s">
        <v>38</v>
      </c>
      <c r="H4" s="53" t="s">
        <v>39</v>
      </c>
      <c r="I4" s="53" t="s">
        <v>40</v>
      </c>
      <c r="J4" s="53" t="s">
        <v>41</v>
      </c>
      <c r="K4" s="53" t="s">
        <v>42</v>
      </c>
      <c r="L4" s="53" t="s">
        <v>43</v>
      </c>
      <c r="M4" s="53" t="s">
        <v>44</v>
      </c>
      <c r="N4" s="53" t="s">
        <v>45</v>
      </c>
      <c r="O4" s="53" t="s">
        <v>46</v>
      </c>
      <c r="P4" s="53" t="s">
        <v>47</v>
      </c>
      <c r="Q4" s="53" t="s">
        <v>48</v>
      </c>
      <c r="R4" s="54" t="s">
        <v>49</v>
      </c>
    </row>
    <row r="5" spans="1:18" s="58" customFormat="1" ht="13.5" thickBot="1">
      <c r="A5" s="55"/>
      <c r="B5" s="55"/>
      <c r="C5" s="55" t="s">
        <v>50</v>
      </c>
      <c r="D5" s="56">
        <f>SUM(E5:Q5)</f>
        <v>115503936.24999999</v>
      </c>
      <c r="E5" s="56">
        <f aca="true" t="shared" si="0" ref="E5:Q5">SUM(E6:E64)</f>
        <v>14215616.43</v>
      </c>
      <c r="F5" s="56">
        <f t="shared" si="0"/>
        <v>1148288.13</v>
      </c>
      <c r="G5" s="56">
        <f t="shared" si="0"/>
        <v>108109.43</v>
      </c>
      <c r="H5" s="56">
        <f t="shared" si="0"/>
        <v>785039.22</v>
      </c>
      <c r="I5" s="56">
        <f t="shared" si="0"/>
        <v>12909259.16</v>
      </c>
      <c r="J5" s="56">
        <f t="shared" si="0"/>
        <v>164489.18</v>
      </c>
      <c r="K5" s="56">
        <f t="shared" si="0"/>
        <v>93154.25</v>
      </c>
      <c r="L5" s="56">
        <f t="shared" si="0"/>
        <v>2490728.58</v>
      </c>
      <c r="M5" s="56">
        <f t="shared" si="0"/>
        <v>1939132.29</v>
      </c>
      <c r="N5" s="56">
        <f t="shared" si="0"/>
        <v>1724599.1500000001</v>
      </c>
      <c r="O5" s="56">
        <f t="shared" si="0"/>
        <v>23567846.150000002</v>
      </c>
      <c r="P5" s="56">
        <f t="shared" si="0"/>
        <v>56240867.73</v>
      </c>
      <c r="Q5" s="56">
        <f t="shared" si="0"/>
        <v>116806.55</v>
      </c>
      <c r="R5" s="57"/>
    </row>
    <row r="6" spans="1:17" ht="13.5" thickTop="1">
      <c r="A6" s="59"/>
      <c r="B6" s="60"/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18" ht="12.75">
      <c r="A7" s="60" t="s">
        <v>36</v>
      </c>
      <c r="B7" s="60" t="s">
        <v>151</v>
      </c>
      <c r="C7" s="60" t="s">
        <v>52</v>
      </c>
      <c r="D7" s="48">
        <f aca="true" t="shared" si="1" ref="D7:D63">SUM(E7:Q7)</f>
        <v>5405785.41</v>
      </c>
      <c r="E7" s="74">
        <f>1035205.6+666923.08+521101.62+2985974.53+196580.58</f>
        <v>5405785.41</v>
      </c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8">
        <f aca="true" t="shared" si="2" ref="R7:R63">D7/$D$5</f>
        <v>0.046801741875701665</v>
      </c>
    </row>
    <row r="8" spans="1:18" ht="12.75">
      <c r="A8" s="60" t="s">
        <v>36</v>
      </c>
      <c r="B8" s="60" t="s">
        <v>157</v>
      </c>
      <c r="C8" s="60" t="s">
        <v>55</v>
      </c>
      <c r="D8" s="48">
        <f t="shared" si="1"/>
        <v>752362.35</v>
      </c>
      <c r="E8" s="74">
        <f>67043+5448.27+226417.9+332957+1078.78+92917.4+26500</f>
        <v>752362.35</v>
      </c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8">
        <f t="shared" si="2"/>
        <v>0.00651373775151321</v>
      </c>
    </row>
    <row r="9" spans="1:18" ht="12.75">
      <c r="A9" s="60" t="s">
        <v>37</v>
      </c>
      <c r="B9" s="60" t="s">
        <v>153</v>
      </c>
      <c r="C9" s="60" t="s">
        <v>52</v>
      </c>
      <c r="D9" s="48">
        <f t="shared" si="1"/>
        <v>636205.19</v>
      </c>
      <c r="E9" s="74"/>
      <c r="F9" s="74">
        <f>194790.24+19848.5+247579.5+138986.95+35000</f>
        <v>636205.19</v>
      </c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8">
        <f t="shared" si="2"/>
        <v>0.005508082327367436</v>
      </c>
    </row>
    <row r="10" spans="1:18" ht="12.75">
      <c r="A10" s="60" t="s">
        <v>37</v>
      </c>
      <c r="B10" s="60" t="s">
        <v>53</v>
      </c>
      <c r="C10" s="60" t="s">
        <v>57</v>
      </c>
      <c r="D10" s="48">
        <f t="shared" si="1"/>
        <v>282672.15</v>
      </c>
      <c r="E10" s="74"/>
      <c r="F10" s="74">
        <f>157392.63+125279.52</f>
        <v>282672.15</v>
      </c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8">
        <f t="shared" si="2"/>
        <v>0.00244729451806886</v>
      </c>
    </row>
    <row r="11" spans="1:18" ht="12.75">
      <c r="A11" s="60" t="s">
        <v>37</v>
      </c>
      <c r="B11" s="60" t="s">
        <v>103</v>
      </c>
      <c r="C11" s="60" t="s">
        <v>55</v>
      </c>
      <c r="D11" s="48">
        <f t="shared" si="1"/>
        <v>179707.79</v>
      </c>
      <c r="E11" s="74"/>
      <c r="F11" s="74">
        <f>68250.66+20018.2+1377.8+63946.13+26115</f>
        <v>179707.79</v>
      </c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8">
        <f t="shared" si="2"/>
        <v>0.0015558585779365595</v>
      </c>
    </row>
    <row r="12" spans="1:18" ht="12.75">
      <c r="A12" s="60" t="s">
        <v>38</v>
      </c>
      <c r="B12" s="60" t="s">
        <v>56</v>
      </c>
      <c r="C12" s="60" t="s">
        <v>52</v>
      </c>
      <c r="D12" s="48">
        <f t="shared" si="1"/>
        <v>108109.43</v>
      </c>
      <c r="E12" s="74"/>
      <c r="F12" s="74"/>
      <c r="G12" s="74">
        <f>12000+96109.43</f>
        <v>108109.43</v>
      </c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8">
        <f t="shared" si="2"/>
        <v>0.0009359804826564948</v>
      </c>
    </row>
    <row r="13" spans="1:18" ht="12.75">
      <c r="A13" s="60" t="s">
        <v>39</v>
      </c>
      <c r="B13" s="60" t="s">
        <v>155</v>
      </c>
      <c r="C13" s="60" t="s">
        <v>52</v>
      </c>
      <c r="D13" s="48">
        <f t="shared" si="1"/>
        <v>484946.22</v>
      </c>
      <c r="E13" s="74"/>
      <c r="F13" s="74"/>
      <c r="G13" s="75"/>
      <c r="H13" s="74">
        <f>37419.65+185050.8+43734.69+15757.75+202983.33</f>
        <v>484946.22</v>
      </c>
      <c r="I13" s="75"/>
      <c r="J13" s="75"/>
      <c r="K13" s="75"/>
      <c r="L13" s="75"/>
      <c r="M13" s="75"/>
      <c r="N13" s="75"/>
      <c r="O13" s="75"/>
      <c r="P13" s="75"/>
      <c r="Q13" s="75"/>
      <c r="R13" s="8">
        <f t="shared" si="2"/>
        <v>0.004198525485316524</v>
      </c>
    </row>
    <row r="14" spans="1:18" ht="12.75">
      <c r="A14" s="60" t="s">
        <v>39</v>
      </c>
      <c r="B14" s="60" t="s">
        <v>61</v>
      </c>
      <c r="C14" s="60" t="s">
        <v>87</v>
      </c>
      <c r="D14" s="48">
        <f t="shared" si="1"/>
        <v>93</v>
      </c>
      <c r="E14" s="74"/>
      <c r="F14" s="74"/>
      <c r="G14" s="75"/>
      <c r="H14" s="74">
        <f>93</f>
        <v>93</v>
      </c>
      <c r="I14" s="75"/>
      <c r="J14" s="75"/>
      <c r="K14" s="75"/>
      <c r="L14" s="75"/>
      <c r="M14" s="75"/>
      <c r="N14" s="75"/>
      <c r="O14" s="75"/>
      <c r="P14" s="75"/>
      <c r="Q14" s="75"/>
      <c r="R14" s="8">
        <f t="shared" si="2"/>
        <v>8.051673650212939E-07</v>
      </c>
    </row>
    <row r="15" spans="1:18" ht="12.75">
      <c r="A15" s="60" t="s">
        <v>39</v>
      </c>
      <c r="B15" s="60" t="s">
        <v>59</v>
      </c>
      <c r="C15" s="60" t="s">
        <v>55</v>
      </c>
      <c r="D15" s="48">
        <f t="shared" si="1"/>
        <v>300000</v>
      </c>
      <c r="E15" s="74"/>
      <c r="F15" s="74"/>
      <c r="G15" s="75"/>
      <c r="H15" s="74">
        <v>300000</v>
      </c>
      <c r="I15" s="75"/>
      <c r="J15" s="75"/>
      <c r="K15" s="75"/>
      <c r="L15" s="75"/>
      <c r="M15" s="75"/>
      <c r="N15" s="75"/>
      <c r="O15" s="75"/>
      <c r="P15" s="75"/>
      <c r="Q15" s="75"/>
      <c r="R15" s="8">
        <f t="shared" si="2"/>
        <v>0.0025973140807138513</v>
      </c>
    </row>
    <row r="16" spans="1:18" ht="12.75">
      <c r="A16" s="60" t="s">
        <v>40</v>
      </c>
      <c r="B16" s="60" t="s">
        <v>149</v>
      </c>
      <c r="C16" s="60" t="s">
        <v>150</v>
      </c>
      <c r="D16" s="48">
        <f t="shared" si="1"/>
        <v>552213</v>
      </c>
      <c r="E16" s="74"/>
      <c r="F16" s="74"/>
      <c r="G16" s="75"/>
      <c r="H16" s="74"/>
      <c r="I16" s="74">
        <f>552213</f>
        <v>552213</v>
      </c>
      <c r="J16" s="75"/>
      <c r="K16" s="75"/>
      <c r="L16" s="75"/>
      <c r="M16" s="75"/>
      <c r="N16" s="75"/>
      <c r="O16" s="75"/>
      <c r="P16" s="75"/>
      <c r="Q16" s="75"/>
      <c r="R16" s="8">
        <f t="shared" si="2"/>
        <v>0.004780902001510793</v>
      </c>
    </row>
    <row r="17" spans="1:18" ht="12.75">
      <c r="A17" s="60" t="s">
        <v>40</v>
      </c>
      <c r="B17" s="60" t="s">
        <v>152</v>
      </c>
      <c r="C17" s="60" t="s">
        <v>52</v>
      </c>
      <c r="D17" s="48">
        <f t="shared" si="1"/>
        <v>1437374.42</v>
      </c>
      <c r="E17" s="74"/>
      <c r="F17" s="74"/>
      <c r="G17" s="75"/>
      <c r="H17" s="74"/>
      <c r="I17" s="74">
        <f>84332.3+240381.96-124694.5+11398.09+18769.98+696788.93+510397.66</f>
        <v>1437374.42</v>
      </c>
      <c r="J17" s="75"/>
      <c r="K17" s="75"/>
      <c r="L17" s="75"/>
      <c r="M17" s="75"/>
      <c r="N17" s="75"/>
      <c r="O17" s="75"/>
      <c r="P17" s="75"/>
      <c r="Q17" s="75"/>
      <c r="R17" s="8">
        <f t="shared" si="2"/>
        <v>0.01244437606774635</v>
      </c>
    </row>
    <row r="18" spans="1:18" ht="12.75">
      <c r="A18" s="60" t="s">
        <v>41</v>
      </c>
      <c r="B18" s="60" t="s">
        <v>154</v>
      </c>
      <c r="C18" s="60" t="s">
        <v>52</v>
      </c>
      <c r="D18" s="48">
        <f t="shared" si="1"/>
        <v>146214.18</v>
      </c>
      <c r="E18" s="74"/>
      <c r="F18" s="74"/>
      <c r="G18" s="75"/>
      <c r="H18" s="74"/>
      <c r="I18" s="74"/>
      <c r="J18" s="74">
        <f>8056.72+138157.46</f>
        <v>146214.18</v>
      </c>
      <c r="K18" s="75"/>
      <c r="L18" s="75"/>
      <c r="M18" s="75"/>
      <c r="N18" s="75"/>
      <c r="O18" s="75"/>
      <c r="P18" s="75"/>
      <c r="Q18" s="75"/>
      <c r="R18" s="8">
        <f t="shared" si="2"/>
        <v>0.0012658804950467651</v>
      </c>
    </row>
    <row r="19" spans="1:18" ht="12.75">
      <c r="A19" s="60" t="s">
        <v>41</v>
      </c>
      <c r="B19" s="60" t="s">
        <v>122</v>
      </c>
      <c r="C19" s="60" t="s">
        <v>55</v>
      </c>
      <c r="D19" s="48">
        <f t="shared" si="1"/>
        <v>18275</v>
      </c>
      <c r="E19" s="74"/>
      <c r="F19" s="74"/>
      <c r="G19" s="75"/>
      <c r="H19" s="74"/>
      <c r="I19" s="74"/>
      <c r="J19" s="74">
        <f>18275</f>
        <v>18275</v>
      </c>
      <c r="K19" s="75"/>
      <c r="L19" s="75"/>
      <c r="M19" s="75"/>
      <c r="N19" s="75"/>
      <c r="O19" s="75"/>
      <c r="P19" s="75"/>
      <c r="Q19" s="75"/>
      <c r="R19" s="8">
        <f t="shared" si="2"/>
        <v>0.00015821971608348545</v>
      </c>
    </row>
    <row r="20" spans="1:18" ht="12.75">
      <c r="A20" s="60" t="s">
        <v>42</v>
      </c>
      <c r="B20" s="60" t="s">
        <v>54</v>
      </c>
      <c r="C20" s="60" t="s">
        <v>58</v>
      </c>
      <c r="D20" s="48">
        <f t="shared" si="1"/>
        <v>16500</v>
      </c>
      <c r="E20" s="74"/>
      <c r="F20" s="74"/>
      <c r="G20" s="75"/>
      <c r="H20" s="74"/>
      <c r="I20" s="75"/>
      <c r="J20" s="74"/>
      <c r="K20" s="74">
        <f>16500</f>
        <v>16500</v>
      </c>
      <c r="L20" s="75"/>
      <c r="M20" s="75"/>
      <c r="N20" s="75"/>
      <c r="O20" s="75"/>
      <c r="P20" s="75"/>
      <c r="Q20" s="75"/>
      <c r="R20" s="8">
        <f t="shared" si="2"/>
        <v>0.00014285227443926182</v>
      </c>
    </row>
    <row r="21" spans="1:18" ht="12.75">
      <c r="A21" s="60" t="s">
        <v>43</v>
      </c>
      <c r="B21" s="60" t="s">
        <v>105</v>
      </c>
      <c r="C21" s="60" t="s">
        <v>52</v>
      </c>
      <c r="D21" s="48">
        <f t="shared" si="1"/>
        <v>410392.98</v>
      </c>
      <c r="E21" s="74"/>
      <c r="F21" s="74"/>
      <c r="G21" s="75"/>
      <c r="H21" s="74"/>
      <c r="I21" s="75"/>
      <c r="J21" s="74"/>
      <c r="K21" s="74"/>
      <c r="L21" s="74">
        <f>7000+179353.1+24948+316983.72-127025.1+9133.26</f>
        <v>410392.98</v>
      </c>
      <c r="M21" s="75"/>
      <c r="N21" s="75"/>
      <c r="O21" s="75"/>
      <c r="P21" s="75"/>
      <c r="Q21" s="75"/>
      <c r="R21" s="8">
        <f t="shared" si="2"/>
        <v>0.0035530648852670596</v>
      </c>
    </row>
    <row r="22" spans="1:18" ht="12.75">
      <c r="A22" s="60" t="s">
        <v>43</v>
      </c>
      <c r="B22" s="60" t="s">
        <v>51</v>
      </c>
      <c r="C22" s="60" t="s">
        <v>118</v>
      </c>
      <c r="D22" s="48">
        <f t="shared" si="1"/>
        <v>31859.85</v>
      </c>
      <c r="E22" s="74"/>
      <c r="F22" s="74"/>
      <c r="G22" s="75"/>
      <c r="H22" s="74"/>
      <c r="I22" s="75"/>
      <c r="J22" s="74"/>
      <c r="K22" s="74"/>
      <c r="L22" s="74">
        <f>31859.85</f>
        <v>31859.85</v>
      </c>
      <c r="M22" s="75"/>
      <c r="N22" s="75"/>
      <c r="O22" s="75"/>
      <c r="P22" s="75"/>
      <c r="Q22" s="75"/>
      <c r="R22" s="8">
        <f t="shared" si="2"/>
        <v>0.0002758334567147706</v>
      </c>
    </row>
    <row r="23" spans="1:18" ht="12.75">
      <c r="A23" s="60" t="s">
        <v>44</v>
      </c>
      <c r="B23" s="60" t="s">
        <v>56</v>
      </c>
      <c r="C23" s="60" t="s">
        <v>52</v>
      </c>
      <c r="D23" s="48">
        <f t="shared" si="1"/>
        <v>251969.5</v>
      </c>
      <c r="E23" s="74"/>
      <c r="F23" s="75"/>
      <c r="G23" s="75"/>
      <c r="H23" s="75"/>
      <c r="I23" s="75"/>
      <c r="J23" s="75"/>
      <c r="K23" s="75"/>
      <c r="L23" s="74"/>
      <c r="M23" s="74">
        <f>77049+10516.4+82340+82064.1</f>
        <v>251969.5</v>
      </c>
      <c r="N23" s="75"/>
      <c r="O23" s="75"/>
      <c r="P23" s="75"/>
      <c r="Q23" s="75"/>
      <c r="R23" s="8">
        <f t="shared" si="2"/>
        <v>0.0021814797675347624</v>
      </c>
    </row>
    <row r="24" spans="1:18" ht="12.75">
      <c r="A24" s="60" t="s">
        <v>44</v>
      </c>
      <c r="B24" s="60" t="s">
        <v>59</v>
      </c>
      <c r="C24" s="60" t="s">
        <v>60</v>
      </c>
      <c r="D24" s="48">
        <f t="shared" si="1"/>
        <v>1301044.64</v>
      </c>
      <c r="E24" s="74"/>
      <c r="F24" s="75"/>
      <c r="G24" s="75"/>
      <c r="H24" s="75"/>
      <c r="I24" s="75"/>
      <c r="J24" s="75"/>
      <c r="K24" s="75"/>
      <c r="L24" s="74"/>
      <c r="M24" s="74">
        <f>1164177.98+136866.66</f>
        <v>1301044.64</v>
      </c>
      <c r="N24" s="75"/>
      <c r="O24" s="75"/>
      <c r="P24" s="75"/>
      <c r="Q24" s="75"/>
      <c r="R24" s="8">
        <f t="shared" si="2"/>
        <v>0.011264071877030945</v>
      </c>
    </row>
    <row r="25" spans="1:18" ht="12.75">
      <c r="A25" s="60" t="s">
        <v>44</v>
      </c>
      <c r="B25" s="60" t="s">
        <v>61</v>
      </c>
      <c r="C25" s="60" t="s">
        <v>55</v>
      </c>
      <c r="D25" s="48">
        <f t="shared" si="1"/>
        <v>103229</v>
      </c>
      <c r="E25" s="74"/>
      <c r="F25" s="75"/>
      <c r="G25" s="75"/>
      <c r="H25" s="75"/>
      <c r="I25" s="75"/>
      <c r="J25" s="75"/>
      <c r="K25" s="75"/>
      <c r="L25" s="74"/>
      <c r="M25" s="74">
        <f>103229</f>
        <v>103229</v>
      </c>
      <c r="N25" s="75"/>
      <c r="O25" s="75"/>
      <c r="P25" s="75"/>
      <c r="Q25" s="75"/>
      <c r="R25" s="8">
        <f t="shared" si="2"/>
        <v>0.0008937271174600339</v>
      </c>
    </row>
    <row r="26" spans="1:18" ht="12.75">
      <c r="A26" s="60" t="s">
        <v>45</v>
      </c>
      <c r="B26" s="60" t="s">
        <v>117</v>
      </c>
      <c r="C26" s="60" t="s">
        <v>52</v>
      </c>
      <c r="D26" s="48">
        <f>SUM(E26:Q26)</f>
        <v>314260.2</v>
      </c>
      <c r="E26" s="74"/>
      <c r="F26" s="75"/>
      <c r="G26" s="75"/>
      <c r="H26" s="75"/>
      <c r="I26" s="75"/>
      <c r="J26" s="75"/>
      <c r="K26" s="75"/>
      <c r="L26" s="74"/>
      <c r="M26" s="74"/>
      <c r="N26" s="74">
        <f>314260.2</f>
        <v>314260.2</v>
      </c>
      <c r="O26" s="75"/>
      <c r="P26" s="75"/>
      <c r="Q26" s="75"/>
      <c r="R26" s="8">
        <f t="shared" si="2"/>
        <v>0.0027207748082265035</v>
      </c>
    </row>
    <row r="27" spans="1:18" ht="12.75">
      <c r="A27" s="60" t="s">
        <v>45</v>
      </c>
      <c r="B27" s="60" t="s">
        <v>51</v>
      </c>
      <c r="C27" s="60" t="s">
        <v>55</v>
      </c>
      <c r="D27" s="48">
        <f t="shared" si="1"/>
        <v>280253.65</v>
      </c>
      <c r="E27" s="74"/>
      <c r="F27" s="75"/>
      <c r="G27" s="75"/>
      <c r="H27" s="75"/>
      <c r="I27" s="75"/>
      <c r="J27" s="75"/>
      <c r="K27" s="75"/>
      <c r="L27" s="74"/>
      <c r="M27" s="74"/>
      <c r="N27" s="74">
        <f>35000+245253.65</f>
        <v>280253.65</v>
      </c>
      <c r="O27" s="75"/>
      <c r="P27" s="75"/>
      <c r="Q27" s="75"/>
      <c r="R27" s="8">
        <f t="shared" si="2"/>
        <v>0.002426355837721505</v>
      </c>
    </row>
    <row r="28" spans="1:18" ht="12.75">
      <c r="A28" s="60" t="s">
        <v>46</v>
      </c>
      <c r="B28" s="60" t="s">
        <v>121</v>
      </c>
      <c r="C28" s="60" t="s">
        <v>52</v>
      </c>
      <c r="D28" s="48">
        <f t="shared" si="1"/>
        <v>791832.87</v>
      </c>
      <c r="E28" s="74"/>
      <c r="F28" s="75"/>
      <c r="G28" s="75"/>
      <c r="H28" s="75"/>
      <c r="I28" s="75"/>
      <c r="J28" s="75"/>
      <c r="K28" s="75"/>
      <c r="L28" s="74"/>
      <c r="M28" s="74"/>
      <c r="N28" s="74"/>
      <c r="O28" s="74">
        <f>248700.5+532299.33+10833.04</f>
        <v>791832.87</v>
      </c>
      <c r="P28" s="75"/>
      <c r="Q28" s="75"/>
      <c r="R28" s="8">
        <f t="shared" si="2"/>
        <v>0.0068554622094102015</v>
      </c>
    </row>
    <row r="29" spans="1:18" ht="12.75">
      <c r="A29" s="60" t="s">
        <v>47</v>
      </c>
      <c r="B29" s="60" t="s">
        <v>106</v>
      </c>
      <c r="C29" s="60" t="s">
        <v>52</v>
      </c>
      <c r="D29" s="48">
        <f t="shared" si="1"/>
        <v>1216573.92</v>
      </c>
      <c r="E29" s="74"/>
      <c r="F29" s="75"/>
      <c r="G29" s="75"/>
      <c r="H29" s="75"/>
      <c r="I29" s="75"/>
      <c r="J29" s="75"/>
      <c r="K29" s="75"/>
      <c r="L29" s="74"/>
      <c r="M29" s="74"/>
      <c r="N29" s="74"/>
      <c r="O29" s="75"/>
      <c r="P29" s="74">
        <f>1800+5869.82+3981.1+509723+689000+6200</f>
        <v>1216573.92</v>
      </c>
      <c r="Q29" s="75"/>
      <c r="R29" s="8">
        <f t="shared" si="2"/>
        <v>0.010532748575484155</v>
      </c>
    </row>
    <row r="30" spans="1:18" ht="12.75">
      <c r="A30" s="60" t="s">
        <v>47</v>
      </c>
      <c r="B30" s="60" t="s">
        <v>107</v>
      </c>
      <c r="C30" s="60" t="s">
        <v>86</v>
      </c>
      <c r="D30" s="48">
        <f t="shared" si="1"/>
        <v>5767097.9</v>
      </c>
      <c r="E30" s="74"/>
      <c r="F30" s="75"/>
      <c r="G30" s="75"/>
      <c r="H30" s="75"/>
      <c r="I30" s="75"/>
      <c r="J30" s="75"/>
      <c r="K30" s="75"/>
      <c r="L30" s="74"/>
      <c r="M30" s="74"/>
      <c r="N30" s="74"/>
      <c r="O30" s="75"/>
      <c r="P30" s="74">
        <f>1490667.33+12600+4228928.57+34902</f>
        <v>5767097.9</v>
      </c>
      <c r="Q30" s="75"/>
      <c r="R30" s="8">
        <f t="shared" si="2"/>
        <v>0.049929881935084276</v>
      </c>
    </row>
    <row r="31" spans="1:18" ht="12.75">
      <c r="A31" s="60" t="s">
        <v>47</v>
      </c>
      <c r="B31" s="60" t="s">
        <v>53</v>
      </c>
      <c r="C31" s="60" t="s">
        <v>120</v>
      </c>
      <c r="D31" s="48">
        <f t="shared" si="1"/>
        <v>4878259.7</v>
      </c>
      <c r="E31" s="74"/>
      <c r="F31" s="75"/>
      <c r="G31" s="75"/>
      <c r="H31" s="75"/>
      <c r="I31" s="75"/>
      <c r="J31" s="75"/>
      <c r="K31" s="75"/>
      <c r="L31" s="74"/>
      <c r="M31" s="74"/>
      <c r="N31" s="74"/>
      <c r="O31" s="75"/>
      <c r="P31" s="74">
        <f>4878259.7</f>
        <v>4878259.7</v>
      </c>
      <c r="Q31" s="75"/>
      <c r="R31" s="8">
        <f t="shared" si="2"/>
        <v>0.042234575360629766</v>
      </c>
    </row>
    <row r="32" spans="1:18" ht="12.75">
      <c r="A32" s="60" t="s">
        <v>48</v>
      </c>
      <c r="B32" s="60" t="s">
        <v>51</v>
      </c>
      <c r="C32" s="60" t="s">
        <v>52</v>
      </c>
      <c r="D32" s="48">
        <f t="shared" si="1"/>
        <v>86196.55</v>
      </c>
      <c r="E32" s="74"/>
      <c r="F32" s="75"/>
      <c r="G32" s="75"/>
      <c r="H32" s="75"/>
      <c r="I32" s="75"/>
      <c r="J32" s="75"/>
      <c r="K32" s="75"/>
      <c r="L32" s="74"/>
      <c r="M32" s="74"/>
      <c r="N32" s="74"/>
      <c r="O32" s="75"/>
      <c r="P32" s="74"/>
      <c r="Q32" s="74">
        <f>86196.55</f>
        <v>86196.55</v>
      </c>
      <c r="R32" s="8">
        <f t="shared" si="2"/>
        <v>0.0007462650434131851</v>
      </c>
    </row>
    <row r="33" spans="1:19" ht="12.75">
      <c r="A33" s="60" t="s">
        <v>48</v>
      </c>
      <c r="B33" s="60" t="s">
        <v>156</v>
      </c>
      <c r="C33" s="60" t="s">
        <v>55</v>
      </c>
      <c r="D33" s="48">
        <f t="shared" si="1"/>
        <v>30610</v>
      </c>
      <c r="E33" s="74"/>
      <c r="F33" s="75"/>
      <c r="G33" s="75"/>
      <c r="H33" s="75"/>
      <c r="I33" s="75"/>
      <c r="J33" s="75"/>
      <c r="K33" s="75"/>
      <c r="L33" s="74"/>
      <c r="M33" s="74"/>
      <c r="N33" s="74"/>
      <c r="O33" s="75"/>
      <c r="P33" s="74"/>
      <c r="Q33" s="74">
        <f>26385+3391+834</f>
        <v>30610</v>
      </c>
      <c r="R33" s="8">
        <f t="shared" si="2"/>
        <v>0.00026501261336883664</v>
      </c>
      <c r="S33" s="8">
        <f>SUM(R7:R33)</f>
        <v>0.22323082430881228</v>
      </c>
    </row>
    <row r="34" spans="1:19" ht="12.75">
      <c r="A34" s="60" t="s">
        <v>36</v>
      </c>
      <c r="B34" s="60" t="s">
        <v>158</v>
      </c>
      <c r="C34" s="60" t="s">
        <v>159</v>
      </c>
      <c r="D34" s="48">
        <f t="shared" si="1"/>
        <v>25092.56</v>
      </c>
      <c r="E34" s="74">
        <f>25092.56</f>
        <v>25092.56</v>
      </c>
      <c r="F34" s="75"/>
      <c r="G34" s="75"/>
      <c r="H34" s="75"/>
      <c r="I34" s="75"/>
      <c r="J34" s="75"/>
      <c r="K34" s="75"/>
      <c r="L34" s="74"/>
      <c r="M34" s="74"/>
      <c r="N34" s="74"/>
      <c r="O34" s="75"/>
      <c r="P34" s="74"/>
      <c r="Q34" s="74"/>
      <c r="R34" s="8">
        <f t="shared" si="2"/>
        <v>0.00021724419803052387</v>
      </c>
      <c r="S34" s="8"/>
    </row>
    <row r="35" spans="1:18" ht="12.75">
      <c r="A35" s="2" t="s">
        <v>36</v>
      </c>
      <c r="B35" s="2" t="s">
        <v>162</v>
      </c>
      <c r="C35" t="s">
        <v>63</v>
      </c>
      <c r="D35" s="48">
        <f t="shared" si="1"/>
        <v>2669818.89</v>
      </c>
      <c r="E35" s="76">
        <f>1212.12+245500.96+861610.13+1542318.03+19177.65</f>
        <v>2669818.89</v>
      </c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8">
        <f t="shared" si="2"/>
        <v>0.023114527319842752</v>
      </c>
    </row>
    <row r="36" spans="1:18" ht="12.75">
      <c r="A36" s="2" t="s">
        <v>36</v>
      </c>
      <c r="B36" s="2" t="s">
        <v>64</v>
      </c>
      <c r="C36" s="63" t="s">
        <v>65</v>
      </c>
      <c r="D36" s="48">
        <f t="shared" si="1"/>
        <v>163821.19999999998</v>
      </c>
      <c r="E36" s="76">
        <f>146679.55+17141.65</f>
        <v>163821.19999999998</v>
      </c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8">
        <f t="shared" si="2"/>
        <v>0.001418317031598133</v>
      </c>
    </row>
    <row r="37" spans="1:18" ht="12.75">
      <c r="A37" s="2" t="s">
        <v>36</v>
      </c>
      <c r="B37" s="2" t="s">
        <v>66</v>
      </c>
      <c r="C37" s="63" t="s">
        <v>65</v>
      </c>
      <c r="D37" s="48">
        <f t="shared" si="1"/>
        <v>1184833.22</v>
      </c>
      <c r="E37" s="76">
        <f>378504.55+806328.67</f>
        <v>1184833.22</v>
      </c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8">
        <f t="shared" si="2"/>
        <v>0.010257946685345107</v>
      </c>
    </row>
    <row r="38" spans="1:18" ht="12.75">
      <c r="A38" s="2" t="s">
        <v>36</v>
      </c>
      <c r="B38" s="2" t="s">
        <v>88</v>
      </c>
      <c r="C38" s="63" t="s">
        <v>65</v>
      </c>
      <c r="D38" s="48">
        <f t="shared" si="1"/>
        <v>937150.88</v>
      </c>
      <c r="E38" s="76">
        <f>4492.79+932658.09</f>
        <v>937150.88</v>
      </c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8">
        <f t="shared" si="2"/>
        <v>0.008113583921257923</v>
      </c>
    </row>
    <row r="39" spans="1:18" ht="12.75">
      <c r="A39" s="2" t="s">
        <v>36</v>
      </c>
      <c r="B39" s="2" t="s">
        <v>88</v>
      </c>
      <c r="C39" s="63" t="s">
        <v>108</v>
      </c>
      <c r="D39" s="48">
        <f t="shared" si="1"/>
        <v>250000</v>
      </c>
      <c r="E39" s="76">
        <f>250000</f>
        <v>250000</v>
      </c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8">
        <f t="shared" si="2"/>
        <v>0.002164428400594876</v>
      </c>
    </row>
    <row r="40" spans="1:18" ht="12.75">
      <c r="A40" s="2" t="s">
        <v>36</v>
      </c>
      <c r="B40" s="2" t="s">
        <v>67</v>
      </c>
      <c r="C40" t="s">
        <v>68</v>
      </c>
      <c r="D40" s="48">
        <f t="shared" si="1"/>
        <v>2826751.92</v>
      </c>
      <c r="E40" s="76">
        <f>2826751.92</f>
        <v>2826751.92</v>
      </c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8">
        <f t="shared" si="2"/>
        <v>0.02447320854833638</v>
      </c>
    </row>
    <row r="41" spans="1:18" ht="12.75">
      <c r="A41" s="2" t="s">
        <v>37</v>
      </c>
      <c r="B41" s="2" t="s">
        <v>64</v>
      </c>
      <c r="C41" s="63" t="s">
        <v>125</v>
      </c>
      <c r="D41" s="48">
        <f t="shared" si="1"/>
        <v>49703</v>
      </c>
      <c r="E41" s="76"/>
      <c r="F41" s="76">
        <f>49703</f>
        <v>49703</v>
      </c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8">
        <f t="shared" si="2"/>
        <v>0.0004303143391790685</v>
      </c>
    </row>
    <row r="42" spans="1:18" ht="12.75">
      <c r="A42" s="2" t="s">
        <v>40</v>
      </c>
      <c r="B42" s="2" t="s">
        <v>164</v>
      </c>
      <c r="C42" s="63" t="s">
        <v>161</v>
      </c>
      <c r="D42" s="48">
        <f t="shared" si="1"/>
        <v>0</v>
      </c>
      <c r="E42" s="76"/>
      <c r="F42" s="76"/>
      <c r="G42" s="76"/>
      <c r="H42" s="76"/>
      <c r="I42" s="76">
        <f>-18590-236339.15+18590+158775.58+26618.02+50945.55</f>
        <v>0</v>
      </c>
      <c r="J42" s="76"/>
      <c r="K42" s="76"/>
      <c r="L42" s="76"/>
      <c r="M42" s="76"/>
      <c r="N42" s="76"/>
      <c r="O42" s="76"/>
      <c r="P42" s="76"/>
      <c r="Q42" s="76"/>
      <c r="R42" s="8">
        <f t="shared" si="2"/>
        <v>0</v>
      </c>
    </row>
    <row r="43" spans="1:18" ht="12.75">
      <c r="A43" s="2" t="s">
        <v>40</v>
      </c>
      <c r="B43" s="2" t="s">
        <v>67</v>
      </c>
      <c r="C43" s="63" t="s">
        <v>166</v>
      </c>
      <c r="D43" s="48">
        <f t="shared" si="1"/>
        <v>0</v>
      </c>
      <c r="E43" s="76"/>
      <c r="F43" s="76"/>
      <c r="G43" s="76"/>
      <c r="H43" s="76"/>
      <c r="I43" s="76">
        <f>-106036.85+106036.85</f>
        <v>0</v>
      </c>
      <c r="J43" s="76"/>
      <c r="K43" s="76"/>
      <c r="L43" s="76"/>
      <c r="M43" s="76"/>
      <c r="N43" s="76"/>
      <c r="O43" s="76"/>
      <c r="P43" s="76"/>
      <c r="Q43" s="76"/>
      <c r="R43" s="8">
        <f t="shared" si="2"/>
        <v>0</v>
      </c>
    </row>
    <row r="44" spans="1:18" ht="12.75">
      <c r="A44" s="2" t="s">
        <v>40</v>
      </c>
      <c r="B44" s="2" t="s">
        <v>64</v>
      </c>
      <c r="C44" t="s">
        <v>109</v>
      </c>
      <c r="D44" s="48">
        <f t="shared" si="1"/>
        <v>10612.55</v>
      </c>
      <c r="E44" s="76"/>
      <c r="F44" s="76"/>
      <c r="G44" s="76"/>
      <c r="H44" s="76"/>
      <c r="I44" s="76">
        <f>10612.55</f>
        <v>10612.55</v>
      </c>
      <c r="J44" s="76"/>
      <c r="K44" s="76"/>
      <c r="L44" s="76"/>
      <c r="M44" s="76"/>
      <c r="N44" s="76"/>
      <c r="O44" s="76"/>
      <c r="P44" s="76"/>
      <c r="Q44" s="76"/>
      <c r="R44" s="8">
        <f t="shared" si="2"/>
        <v>9.18804184909326E-05</v>
      </c>
    </row>
    <row r="45" spans="1:18" ht="12.75">
      <c r="A45" s="2" t="s">
        <v>40</v>
      </c>
      <c r="B45" s="2" t="s">
        <v>89</v>
      </c>
      <c r="C45" t="s">
        <v>70</v>
      </c>
      <c r="D45" s="48">
        <f t="shared" si="1"/>
        <v>10152109.52</v>
      </c>
      <c r="E45" s="76"/>
      <c r="F45" s="76"/>
      <c r="G45" s="76"/>
      <c r="H45" s="76"/>
      <c r="I45" s="76">
        <f>3055151.26+7096958.26</f>
        <v>10152109.52</v>
      </c>
      <c r="J45" s="76"/>
      <c r="K45" s="76"/>
      <c r="L45" s="76"/>
      <c r="M45" s="76"/>
      <c r="N45" s="76"/>
      <c r="O45" s="76"/>
      <c r="P45" s="76"/>
      <c r="Q45" s="76"/>
      <c r="R45" s="8">
        <f t="shared" si="2"/>
        <v>0.08789405668415046</v>
      </c>
    </row>
    <row r="46" spans="1:18" ht="12.75">
      <c r="A46" s="2" t="s">
        <v>40</v>
      </c>
      <c r="B46" s="2" t="s">
        <v>67</v>
      </c>
      <c r="C46" t="s">
        <v>69</v>
      </c>
      <c r="D46" s="48">
        <f t="shared" si="1"/>
        <v>19576.74</v>
      </c>
      <c r="E46" s="76"/>
      <c r="F46" s="76"/>
      <c r="G46" s="76"/>
      <c r="H46" s="76"/>
      <c r="I46" s="76">
        <f>19538+38.74</f>
        <v>19576.74</v>
      </c>
      <c r="J46" s="76"/>
      <c r="K46" s="76"/>
      <c r="L46" s="76"/>
      <c r="M46" s="76"/>
      <c r="N46" s="76"/>
      <c r="O46" s="76"/>
      <c r="P46" s="76"/>
      <c r="Q46" s="76"/>
      <c r="R46" s="8">
        <f t="shared" si="2"/>
        <v>0.00016948980818824695</v>
      </c>
    </row>
    <row r="47" spans="1:18" ht="12.75">
      <c r="A47" s="2" t="s">
        <v>40</v>
      </c>
      <c r="B47" s="2" t="s">
        <v>64</v>
      </c>
      <c r="C47" t="s">
        <v>100</v>
      </c>
      <c r="D47" s="48">
        <f t="shared" si="1"/>
        <v>11635</v>
      </c>
      <c r="E47" s="76"/>
      <c r="F47" s="76"/>
      <c r="G47" s="76"/>
      <c r="H47" s="76"/>
      <c r="I47" s="76">
        <f>11635</f>
        <v>11635</v>
      </c>
      <c r="J47" s="76"/>
      <c r="K47" s="76"/>
      <c r="L47" s="76"/>
      <c r="M47" s="76"/>
      <c r="N47" s="76"/>
      <c r="O47" s="76"/>
      <c r="P47" s="76"/>
      <c r="Q47" s="76"/>
      <c r="R47" s="8">
        <f t="shared" si="2"/>
        <v>0.00010073249776368553</v>
      </c>
    </row>
    <row r="48" spans="1:18" ht="12.75">
      <c r="A48" s="2" t="s">
        <v>40</v>
      </c>
      <c r="B48" s="2" t="s">
        <v>64</v>
      </c>
      <c r="C48" t="s">
        <v>126</v>
      </c>
      <c r="D48" s="48">
        <f t="shared" si="1"/>
        <v>725737.93</v>
      </c>
      <c r="E48" s="76"/>
      <c r="F48" s="76"/>
      <c r="G48" s="76"/>
      <c r="H48" s="76"/>
      <c r="I48" s="76">
        <f>725737.93</f>
        <v>725737.93</v>
      </c>
      <c r="J48" s="76"/>
      <c r="K48" s="76"/>
      <c r="L48" s="76"/>
      <c r="M48" s="76"/>
      <c r="N48" s="76"/>
      <c r="O48" s="76"/>
      <c r="P48" s="76"/>
      <c r="Q48" s="76"/>
      <c r="R48" s="8">
        <f t="shared" si="2"/>
        <v>0.006283231148323745</v>
      </c>
    </row>
    <row r="49" spans="1:18" ht="12.75">
      <c r="A49" s="2" t="s">
        <v>42</v>
      </c>
      <c r="B49" s="2" t="s">
        <v>64</v>
      </c>
      <c r="C49" t="s">
        <v>71</v>
      </c>
      <c r="D49" s="48">
        <f t="shared" si="1"/>
        <v>76654.25</v>
      </c>
      <c r="E49" s="76"/>
      <c r="F49" s="76"/>
      <c r="G49" s="76"/>
      <c r="H49" s="76"/>
      <c r="I49" s="76"/>
      <c r="J49" s="76"/>
      <c r="K49" s="76">
        <f>22.31+76631.94</f>
        <v>76654.25</v>
      </c>
      <c r="L49" s="76"/>
      <c r="M49" s="76"/>
      <c r="N49" s="76"/>
      <c r="O49" s="76"/>
      <c r="P49" s="76"/>
      <c r="Q49" s="76"/>
      <c r="R49" s="8">
        <f t="shared" si="2"/>
        <v>0.0006636505429051991</v>
      </c>
    </row>
    <row r="50" spans="1:18" ht="12.75">
      <c r="A50" s="2" t="s">
        <v>43</v>
      </c>
      <c r="B50" s="2" t="s">
        <v>162</v>
      </c>
      <c r="C50" t="s">
        <v>73</v>
      </c>
      <c r="D50" s="48">
        <f t="shared" si="1"/>
        <v>2048475.75</v>
      </c>
      <c r="E50" s="76"/>
      <c r="F50" s="76"/>
      <c r="G50" s="76"/>
      <c r="H50" s="76"/>
      <c r="I50" s="76"/>
      <c r="J50" s="76"/>
      <c r="K50" s="76"/>
      <c r="L50" s="76">
        <f>416037.3+18748.51+1445000+168689.94</f>
        <v>2048475.75</v>
      </c>
      <c r="M50" s="76"/>
      <c r="N50" s="76"/>
      <c r="O50" s="76"/>
      <c r="P50" s="76"/>
      <c r="Q50" s="76"/>
      <c r="R50" s="8">
        <f t="shared" si="2"/>
        <v>0.01773511636491956</v>
      </c>
    </row>
    <row r="51" spans="1:18" ht="12.75">
      <c r="A51" s="2" t="s">
        <v>44</v>
      </c>
      <c r="B51" s="2" t="s">
        <v>67</v>
      </c>
      <c r="C51" t="s">
        <v>74</v>
      </c>
      <c r="D51" s="48">
        <f t="shared" si="1"/>
        <v>282889.15</v>
      </c>
      <c r="E51" s="76"/>
      <c r="F51" s="76"/>
      <c r="G51" s="76"/>
      <c r="H51" s="76"/>
      <c r="I51" s="76"/>
      <c r="J51" s="76"/>
      <c r="K51" s="76"/>
      <c r="L51" s="76"/>
      <c r="M51" s="76">
        <f>6738+276151.15</f>
        <v>282889.15</v>
      </c>
      <c r="N51" s="76"/>
      <c r="O51" s="76"/>
      <c r="P51" s="76"/>
      <c r="Q51" s="76"/>
      <c r="R51" s="8">
        <f t="shared" si="2"/>
        <v>0.0024491732419205763</v>
      </c>
    </row>
    <row r="52" spans="1:18" ht="12.75">
      <c r="A52" s="2" t="s">
        <v>45</v>
      </c>
      <c r="B52" s="2" t="s">
        <v>66</v>
      </c>
      <c r="C52" t="s">
        <v>75</v>
      </c>
      <c r="D52" s="48">
        <f t="shared" si="1"/>
        <v>1130085.3</v>
      </c>
      <c r="E52" s="76"/>
      <c r="F52" s="76"/>
      <c r="G52" s="76"/>
      <c r="H52" s="76"/>
      <c r="I52" s="76"/>
      <c r="J52" s="76"/>
      <c r="K52" s="76"/>
      <c r="L52" s="76"/>
      <c r="M52" s="76"/>
      <c r="N52" s="76">
        <f>1130085.3</f>
        <v>1130085.3</v>
      </c>
      <c r="O52" s="76"/>
      <c r="P52" s="76"/>
      <c r="Q52" s="76"/>
      <c r="R52" s="8">
        <f t="shared" si="2"/>
        <v>0.009783954873659123</v>
      </c>
    </row>
    <row r="53" spans="1:18" ht="12.75">
      <c r="A53" s="2" t="s">
        <v>46</v>
      </c>
      <c r="B53" s="2" t="s">
        <v>160</v>
      </c>
      <c r="C53" t="s">
        <v>76</v>
      </c>
      <c r="D53" s="48">
        <f t="shared" si="1"/>
        <v>9087280.270000001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>
        <f>3934048.32+155249.67+19854.14+272266.19+4412571.21+242030.17+51260.57</f>
        <v>9087280.270000001</v>
      </c>
      <c r="P53" s="76"/>
      <c r="Q53" s="76"/>
      <c r="R53" s="8">
        <f t="shared" si="2"/>
        <v>0.07867507000221391</v>
      </c>
    </row>
    <row r="54" spans="1:18" ht="12.75">
      <c r="A54" s="2" t="s">
        <v>46</v>
      </c>
      <c r="B54" s="2" t="s">
        <v>77</v>
      </c>
      <c r="C54" t="s">
        <v>78</v>
      </c>
      <c r="D54" s="48">
        <f t="shared" si="1"/>
        <v>13575587.900000002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>
        <f>4675318.69+8900269.21</f>
        <v>13575587.900000002</v>
      </c>
      <c r="P54" s="76"/>
      <c r="Q54" s="76"/>
      <c r="R54" s="8">
        <f t="shared" si="2"/>
        <v>0.11753355202212863</v>
      </c>
    </row>
    <row r="55" spans="1:18" ht="12.75">
      <c r="A55" s="2" t="s">
        <v>46</v>
      </c>
      <c r="B55" s="2" t="s">
        <v>64</v>
      </c>
      <c r="C55" t="s">
        <v>127</v>
      </c>
      <c r="D55" s="48">
        <f t="shared" si="1"/>
        <v>113145.11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>
        <f>113145.11</f>
        <v>113145.11</v>
      </c>
      <c r="P55" s="76"/>
      <c r="Q55" s="76"/>
      <c r="R55" s="8">
        <f t="shared" si="2"/>
        <v>0.0009795779578897254</v>
      </c>
    </row>
    <row r="56" spans="1:18" ht="12.75">
      <c r="A56" s="2" t="s">
        <v>47</v>
      </c>
      <c r="B56" s="2" t="s">
        <v>88</v>
      </c>
      <c r="C56" t="s">
        <v>111</v>
      </c>
      <c r="D56" s="48">
        <f t="shared" si="1"/>
        <v>4338589.6899999995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>
        <f>353084+3985505.69</f>
        <v>4338589.6899999995</v>
      </c>
      <c r="Q56" s="76"/>
      <c r="R56" s="8">
        <f t="shared" si="2"/>
        <v>0.03756226697425647</v>
      </c>
    </row>
    <row r="57" spans="1:18" ht="12.75">
      <c r="A57" s="2" t="s">
        <v>47</v>
      </c>
      <c r="B57" s="2" t="s">
        <v>163</v>
      </c>
      <c r="C57" t="s">
        <v>80</v>
      </c>
      <c r="D57" s="48">
        <f t="shared" si="1"/>
        <v>7238876.85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>
        <f>1840149.77+5398727.08</f>
        <v>7238876.85</v>
      </c>
      <c r="Q57" s="76"/>
      <c r="R57" s="8">
        <f t="shared" si="2"/>
        <v>0.0626721225701951</v>
      </c>
    </row>
    <row r="58" spans="1:18" ht="12.75">
      <c r="A58" s="2" t="s">
        <v>47</v>
      </c>
      <c r="B58" s="2" t="s">
        <v>89</v>
      </c>
      <c r="C58" t="s">
        <v>70</v>
      </c>
      <c r="D58" s="48">
        <f t="shared" si="1"/>
        <v>6197486.72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>
        <f>8718.72+308953.71+5742036.62+137777.67</f>
        <v>6197486.72</v>
      </c>
      <c r="Q58" s="76"/>
      <c r="R58" s="8">
        <f t="shared" si="2"/>
        <v>0.053656065076310336</v>
      </c>
    </row>
    <row r="59" spans="1:18" ht="12.75">
      <c r="A59" s="2" t="s">
        <v>47</v>
      </c>
      <c r="B59" s="2" t="s">
        <v>124</v>
      </c>
      <c r="C59" t="s">
        <v>81</v>
      </c>
      <c r="D59" s="48">
        <f t="shared" si="1"/>
        <v>6145370.290000001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>
        <f>251404+1301825.12+28884.54+4273220.73+290035.9</f>
        <v>6145370.290000001</v>
      </c>
      <c r="Q59" s="76"/>
      <c r="R59" s="8">
        <f t="shared" si="2"/>
        <v>0.05320485595139189</v>
      </c>
    </row>
    <row r="60" spans="1:18" ht="12.75">
      <c r="A60" s="2" t="s">
        <v>47</v>
      </c>
      <c r="B60" s="2" t="s">
        <v>72</v>
      </c>
      <c r="C60" t="s">
        <v>165</v>
      </c>
      <c r="D60" s="48">
        <f t="shared" si="1"/>
        <v>209416.4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>
        <f>209416.4</f>
        <v>209416.4</v>
      </c>
      <c r="Q60" s="76"/>
      <c r="R60" s="8">
        <f t="shared" si="2"/>
        <v>0.0018130672148413472</v>
      </c>
    </row>
    <row r="61" spans="1:18" ht="12.75">
      <c r="A61" s="2" t="s">
        <v>47</v>
      </c>
      <c r="B61" s="2" t="s">
        <v>90</v>
      </c>
      <c r="C61" t="s">
        <v>82</v>
      </c>
      <c r="D61" s="48">
        <f t="shared" si="1"/>
        <v>8910500.97</v>
      </c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>
        <f>5407128.19+26552+3395388.78+81432</f>
        <v>8910500.97</v>
      </c>
      <c r="Q61" s="76"/>
      <c r="R61" s="8">
        <f t="shared" si="2"/>
        <v>0.07714456545198478</v>
      </c>
    </row>
    <row r="62" spans="1:19" ht="12.75">
      <c r="A62" s="2" t="s">
        <v>47</v>
      </c>
      <c r="B62" s="2" t="s">
        <v>72</v>
      </c>
      <c r="C62" t="s">
        <v>83</v>
      </c>
      <c r="D62" s="48">
        <f t="shared" si="1"/>
        <v>11286612.54</v>
      </c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>
        <f>3845755.34+7440857.2</f>
        <v>11286612.54</v>
      </c>
      <c r="Q62" s="76"/>
      <c r="R62" s="8">
        <f t="shared" si="2"/>
        <v>0.09771625891234507</v>
      </c>
      <c r="S62" s="8"/>
    </row>
    <row r="63" spans="1:19" ht="12.75">
      <c r="A63" s="2" t="s">
        <v>47</v>
      </c>
      <c r="B63" s="2" t="s">
        <v>64</v>
      </c>
      <c r="C63" t="s">
        <v>112</v>
      </c>
      <c r="D63" s="48">
        <f t="shared" si="1"/>
        <v>52082.75</v>
      </c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>
        <f>29970+22112.75</f>
        <v>52082.75</v>
      </c>
      <c r="Q63" s="76"/>
      <c r="R63" s="8">
        <f t="shared" si="2"/>
        <v>0.00045091753312433115</v>
      </c>
      <c r="S63" s="8"/>
    </row>
    <row r="64" spans="3:18" ht="12.75">
      <c r="C64" s="72" t="s">
        <v>113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5"/>
    </row>
    <row r="65" spans="2:18" s="8" customFormat="1" ht="13.5" thickBot="1">
      <c r="B65" s="66"/>
      <c r="C65" s="67" t="s">
        <v>84</v>
      </c>
      <c r="D65" s="68">
        <f>SUM(E65:Q65)</f>
        <v>1.0000000000000002</v>
      </c>
      <c r="E65" s="69">
        <f>E5/D5</f>
        <v>0.12307473573222057</v>
      </c>
      <c r="F65" s="69">
        <f>F5/D5</f>
        <v>0.009941549762551924</v>
      </c>
      <c r="G65" s="69">
        <f>G5/D5</f>
        <v>0.0009359804826564948</v>
      </c>
      <c r="H65" s="69">
        <f>H5/D5</f>
        <v>0.006796644733395396</v>
      </c>
      <c r="I65" s="69">
        <f>I5/D5</f>
        <v>0.11176466862617422</v>
      </c>
      <c r="J65" s="69">
        <f>J5/D5</f>
        <v>0.0014241002111302506</v>
      </c>
      <c r="K65" s="69">
        <f>K5/D5</f>
        <v>0.000806502817344461</v>
      </c>
      <c r="L65" s="69">
        <f>L5/D5</f>
        <v>0.021564014706901388</v>
      </c>
      <c r="M65" s="69">
        <f>M5/D5</f>
        <v>0.016788452003946318</v>
      </c>
      <c r="N65" s="69">
        <f>N5/D5</f>
        <v>0.014931085519607132</v>
      </c>
      <c r="O65" s="69">
        <f>O5/D5</f>
        <v>0.20404366219164247</v>
      </c>
      <c r="P65" s="69">
        <f>P5/D5</f>
        <v>0.4869173255556475</v>
      </c>
      <c r="Q65" s="69">
        <f>Q5/D5</f>
        <v>0.0010112776567820217</v>
      </c>
      <c r="R65" s="69">
        <f>SUM(R6:R64)</f>
        <v>1.0000000000000002</v>
      </c>
    </row>
    <row r="66" spans="1:18" s="8" customFormat="1" ht="13.5" thickTop="1">
      <c r="A66" s="70"/>
      <c r="C66" s="6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</row>
    <row r="68" ht="12.75">
      <c r="E68" s="8"/>
    </row>
  </sheetData>
  <sheetProtection/>
  <printOptions/>
  <pageMargins left="0" right="0" top="0.25" bottom="0.25" header="0.5" footer="0"/>
  <pageSetup horizontalDpi="600" verticalDpi="600" orientation="landscape" paperSize="5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1">
      <pane xSplit="3" ySplit="6" topLeftCell="P2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P47" sqref="P47"/>
    </sheetView>
  </sheetViews>
  <sheetFormatPr defaultColWidth="8.7109375" defaultRowHeight="12.75"/>
  <cols>
    <col min="1" max="1" width="7.7109375" style="0" customWidth="1"/>
    <col min="2" max="2" width="15.7109375" style="0" customWidth="1"/>
    <col min="3" max="3" width="36.7109375" style="0" customWidth="1"/>
    <col min="4" max="4" width="14.7109375" style="48" customWidth="1"/>
    <col min="5" max="5" width="13.7109375" style="48" customWidth="1"/>
    <col min="6" max="6" width="12.7109375" style="48" customWidth="1"/>
    <col min="7" max="8" width="10.7109375" style="48" customWidth="1"/>
    <col min="9" max="9" width="13.7109375" style="48" customWidth="1"/>
    <col min="10" max="10" width="9.7109375" style="48" customWidth="1"/>
    <col min="11" max="13" width="12.7109375" style="48" customWidth="1"/>
    <col min="14" max="16" width="13.7109375" style="48" customWidth="1"/>
    <col min="17" max="17" width="10.7109375" style="48" customWidth="1"/>
    <col min="18" max="18" width="13.7109375" style="48" customWidth="1"/>
    <col min="19" max="19" width="12.7109375" style="8" customWidth="1"/>
    <col min="20" max="20" width="10.28125" style="0" bestFit="1" customWidth="1"/>
  </cols>
  <sheetData>
    <row r="1" ht="12.75">
      <c r="A1" s="47" t="s">
        <v>114</v>
      </c>
    </row>
    <row r="3" spans="1:19" ht="12.75">
      <c r="A3" s="49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 t="s">
        <v>129</v>
      </c>
      <c r="S3" s="51" t="s">
        <v>32</v>
      </c>
    </row>
    <row r="4" spans="1:19" ht="12.75">
      <c r="A4" s="52" t="s">
        <v>33</v>
      </c>
      <c r="B4" s="52" t="s">
        <v>34</v>
      </c>
      <c r="C4" s="52" t="s">
        <v>35</v>
      </c>
      <c r="D4" s="53" t="s">
        <v>18</v>
      </c>
      <c r="E4" s="53" t="s">
        <v>36</v>
      </c>
      <c r="F4" s="53" t="s">
        <v>37</v>
      </c>
      <c r="G4" s="53" t="s">
        <v>38</v>
      </c>
      <c r="H4" s="53" t="s">
        <v>39</v>
      </c>
      <c r="I4" s="53" t="s">
        <v>40</v>
      </c>
      <c r="J4" s="53" t="s">
        <v>41</v>
      </c>
      <c r="K4" s="53" t="s">
        <v>42</v>
      </c>
      <c r="L4" s="53" t="s">
        <v>43</v>
      </c>
      <c r="M4" s="53" t="s">
        <v>44</v>
      </c>
      <c r="N4" s="53" t="s">
        <v>45</v>
      </c>
      <c r="O4" s="53" t="s">
        <v>46</v>
      </c>
      <c r="P4" s="53" t="s">
        <v>47</v>
      </c>
      <c r="Q4" s="53" t="s">
        <v>48</v>
      </c>
      <c r="R4" s="53" t="s">
        <v>130</v>
      </c>
      <c r="S4" s="54" t="s">
        <v>49</v>
      </c>
    </row>
    <row r="5" spans="1:19" s="58" customFormat="1" ht="13.5" thickBot="1">
      <c r="A5" s="55"/>
      <c r="B5" s="55"/>
      <c r="C5" s="55" t="s">
        <v>50</v>
      </c>
      <c r="D5" s="56">
        <f>SUM(E5:R5)</f>
        <v>116562004.00999999</v>
      </c>
      <c r="E5" s="56">
        <f aca="true" t="shared" si="0" ref="E5:R5">SUM(E6:E58)</f>
        <v>8552167.09</v>
      </c>
      <c r="F5" s="56">
        <f t="shared" si="0"/>
        <v>756022.15</v>
      </c>
      <c r="G5" s="56">
        <f t="shared" si="0"/>
        <v>108109.43</v>
      </c>
      <c r="H5" s="56">
        <f t="shared" si="0"/>
        <v>741479.39</v>
      </c>
      <c r="I5" s="56">
        <f t="shared" si="0"/>
        <v>11414135.39</v>
      </c>
      <c r="J5" s="56">
        <f t="shared" si="0"/>
        <v>18275</v>
      </c>
      <c r="K5" s="56">
        <f t="shared" si="0"/>
        <v>20281.76</v>
      </c>
      <c r="L5" s="56">
        <f t="shared" si="0"/>
        <v>1693033.26</v>
      </c>
      <c r="M5" s="56">
        <f t="shared" si="0"/>
        <v>1631060.95</v>
      </c>
      <c r="N5" s="56">
        <f t="shared" si="0"/>
        <v>1429427.3</v>
      </c>
      <c r="O5" s="56">
        <f t="shared" si="0"/>
        <v>18382327.119999997</v>
      </c>
      <c r="P5" s="56">
        <f t="shared" si="0"/>
        <v>35091113.72</v>
      </c>
      <c r="Q5" s="56">
        <f t="shared" si="0"/>
        <v>4225</v>
      </c>
      <c r="R5" s="56">
        <f t="shared" si="0"/>
        <v>36720346.449999996</v>
      </c>
      <c r="S5" s="57"/>
    </row>
    <row r="6" spans="1:18" ht="13.5" thickTop="1">
      <c r="A6" s="59"/>
      <c r="B6" s="60"/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1:19" ht="12.75">
      <c r="A7" s="60" t="s">
        <v>36</v>
      </c>
      <c r="B7" s="60" t="s">
        <v>85</v>
      </c>
      <c r="C7" s="60" t="s">
        <v>52</v>
      </c>
      <c r="D7" s="48">
        <f aca="true" t="shared" si="1" ref="D7:D56">SUM(E7:Q7)</f>
        <v>2707192.3600000003</v>
      </c>
      <c r="E7" s="62">
        <f>1035205.6+666923.08+1072771.44-67707.76</f>
        <v>2707192.3600000003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8">
        <f aca="true" t="shared" si="2" ref="S7:S38">D7/$D$5</f>
        <v>0.023225341593884636</v>
      </c>
    </row>
    <row r="8" spans="1:19" ht="12.75">
      <c r="A8" s="60" t="s">
        <v>36</v>
      </c>
      <c r="B8" s="60" t="s">
        <v>101</v>
      </c>
      <c r="C8" s="60" t="s">
        <v>55</v>
      </c>
      <c r="D8" s="48">
        <f t="shared" si="1"/>
        <v>724132.58</v>
      </c>
      <c r="E8" s="62">
        <f>67043+5448.27+226417.9+332957+92266.41</f>
        <v>724132.58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8">
        <f t="shared" si="2"/>
        <v>0.006212423903915343</v>
      </c>
    </row>
    <row r="9" spans="1:19" ht="12.75">
      <c r="A9" s="60" t="s">
        <v>37</v>
      </c>
      <c r="B9" s="60" t="s">
        <v>102</v>
      </c>
      <c r="C9" s="60" t="s">
        <v>52</v>
      </c>
      <c r="D9" s="48">
        <f t="shared" si="1"/>
        <v>334000.33999999997</v>
      </c>
      <c r="E9" s="62"/>
      <c r="F9" s="62">
        <f>194790.24+19848.5+113025.1+6336.5</f>
        <v>334000.33999999997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8">
        <f t="shared" si="2"/>
        <v>0.002865430659302543</v>
      </c>
    </row>
    <row r="10" spans="1:19" ht="12.75">
      <c r="A10" s="60" t="s">
        <v>37</v>
      </c>
      <c r="B10" s="60" t="s">
        <v>53</v>
      </c>
      <c r="C10" s="60" t="s">
        <v>57</v>
      </c>
      <c r="D10" s="48">
        <f t="shared" si="1"/>
        <v>282672.15</v>
      </c>
      <c r="E10" s="62"/>
      <c r="F10" s="62">
        <f>157392.63+125279.52</f>
        <v>282672.15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8">
        <f t="shared" si="2"/>
        <v>0.0024250797024367326</v>
      </c>
    </row>
    <row r="11" spans="1:19" ht="12.75">
      <c r="A11" s="60" t="s">
        <v>37</v>
      </c>
      <c r="B11" s="60" t="s">
        <v>103</v>
      </c>
      <c r="C11" s="60" t="s">
        <v>55</v>
      </c>
      <c r="D11" s="48">
        <f t="shared" si="1"/>
        <v>89646.66</v>
      </c>
      <c r="E11" s="62"/>
      <c r="F11" s="62">
        <f>68250.66+20018.2+1377.8</f>
        <v>89646.66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8">
        <f t="shared" si="2"/>
        <v>0.0007690898999326497</v>
      </c>
    </row>
    <row r="12" spans="1:19" ht="12.75">
      <c r="A12" s="60" t="s">
        <v>38</v>
      </c>
      <c r="B12" s="60" t="s">
        <v>56</v>
      </c>
      <c r="C12" s="60" t="s">
        <v>52</v>
      </c>
      <c r="D12" s="48">
        <f t="shared" si="1"/>
        <v>108109.43</v>
      </c>
      <c r="E12" s="62"/>
      <c r="F12" s="62"/>
      <c r="G12" s="62">
        <f>12000+96109.43</f>
        <v>108109.43</v>
      </c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8">
        <f t="shared" si="2"/>
        <v>0.0009274843111887915</v>
      </c>
    </row>
    <row r="13" spans="1:19" ht="12.75">
      <c r="A13" s="60" t="s">
        <v>39</v>
      </c>
      <c r="B13" s="60" t="s">
        <v>119</v>
      </c>
      <c r="C13" s="60" t="s">
        <v>52</v>
      </c>
      <c r="D13" s="48">
        <f t="shared" si="1"/>
        <v>441386.39</v>
      </c>
      <c r="E13" s="62"/>
      <c r="F13" s="62"/>
      <c r="G13" s="61"/>
      <c r="H13" s="62">
        <f>37419.65+185050.8+33664.04+185251.9</f>
        <v>441386.39</v>
      </c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8">
        <f t="shared" si="2"/>
        <v>0.003786709003065295</v>
      </c>
    </row>
    <row r="14" spans="1:19" ht="12.75">
      <c r="A14" s="60" t="s">
        <v>39</v>
      </c>
      <c r="B14" s="60" t="s">
        <v>61</v>
      </c>
      <c r="C14" s="60" t="s">
        <v>87</v>
      </c>
      <c r="D14" s="48">
        <f t="shared" si="1"/>
        <v>93</v>
      </c>
      <c r="E14" s="62"/>
      <c r="F14" s="62"/>
      <c r="G14" s="61"/>
      <c r="H14" s="62">
        <f>93</f>
        <v>93</v>
      </c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8">
        <f t="shared" si="2"/>
        <v>7.978586228838466E-07</v>
      </c>
    </row>
    <row r="15" spans="1:19" ht="12.75">
      <c r="A15" s="60" t="s">
        <v>39</v>
      </c>
      <c r="B15" s="60" t="s">
        <v>59</v>
      </c>
      <c r="C15" s="60" t="s">
        <v>55</v>
      </c>
      <c r="D15" s="48">
        <f t="shared" si="1"/>
        <v>300000</v>
      </c>
      <c r="E15" s="62"/>
      <c r="F15" s="62"/>
      <c r="G15" s="61"/>
      <c r="H15" s="62">
        <f>300000</f>
        <v>300000</v>
      </c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8">
        <f t="shared" si="2"/>
        <v>0.002573737493173699</v>
      </c>
    </row>
    <row r="16" spans="1:19" ht="12.75">
      <c r="A16" s="60" t="s">
        <v>40</v>
      </c>
      <c r="B16" s="60" t="s">
        <v>104</v>
      </c>
      <c r="C16" s="60" t="s">
        <v>52</v>
      </c>
      <c r="D16" s="48">
        <f t="shared" si="1"/>
        <v>911090.76</v>
      </c>
      <c r="E16" s="62"/>
      <c r="F16" s="62"/>
      <c r="G16" s="61"/>
      <c r="H16" s="62"/>
      <c r="I16" s="62">
        <f>84332.3+240381.96-124694.5+212+298182.03+412676.97</f>
        <v>911090.76</v>
      </c>
      <c r="J16" s="61"/>
      <c r="K16" s="61"/>
      <c r="L16" s="61"/>
      <c r="M16" s="61"/>
      <c r="N16" s="61"/>
      <c r="O16" s="61"/>
      <c r="P16" s="61"/>
      <c r="Q16" s="61"/>
      <c r="R16" s="61"/>
      <c r="S16" s="8">
        <f t="shared" si="2"/>
        <v>0.007816361495653734</v>
      </c>
    </row>
    <row r="17" spans="1:19" ht="12.75">
      <c r="A17" s="60" t="s">
        <v>41</v>
      </c>
      <c r="B17" s="60" t="s">
        <v>122</v>
      </c>
      <c r="C17" s="60" t="s">
        <v>55</v>
      </c>
      <c r="D17" s="48">
        <f t="shared" si="1"/>
        <v>18275</v>
      </c>
      <c r="E17" s="62"/>
      <c r="F17" s="62"/>
      <c r="G17" s="61"/>
      <c r="H17" s="62"/>
      <c r="I17" s="62"/>
      <c r="J17" s="61">
        <f>18275</f>
        <v>18275</v>
      </c>
      <c r="K17" s="61"/>
      <c r="L17" s="61"/>
      <c r="M17" s="61"/>
      <c r="N17" s="61"/>
      <c r="O17" s="61"/>
      <c r="P17" s="61"/>
      <c r="Q17" s="61"/>
      <c r="R17" s="61"/>
      <c r="S17" s="8">
        <f t="shared" si="2"/>
        <v>0.0001567835089591645</v>
      </c>
    </row>
    <row r="18" spans="1:19" ht="12.75">
      <c r="A18" s="60" t="s">
        <v>42</v>
      </c>
      <c r="B18" s="60" t="s">
        <v>54</v>
      </c>
      <c r="C18" s="60" t="s">
        <v>58</v>
      </c>
      <c r="D18" s="48">
        <f t="shared" si="1"/>
        <v>16500</v>
      </c>
      <c r="E18" s="62"/>
      <c r="F18" s="62"/>
      <c r="G18" s="61"/>
      <c r="H18" s="62"/>
      <c r="I18" s="61"/>
      <c r="J18" s="62"/>
      <c r="K18" s="62">
        <f>16500</f>
        <v>16500</v>
      </c>
      <c r="L18" s="61"/>
      <c r="M18" s="61"/>
      <c r="N18" s="61"/>
      <c r="O18" s="61"/>
      <c r="P18" s="61"/>
      <c r="Q18" s="61"/>
      <c r="R18" s="61"/>
      <c r="S18" s="8">
        <f t="shared" si="2"/>
        <v>0.00014155556212455344</v>
      </c>
    </row>
    <row r="19" spans="1:19" ht="12.75">
      <c r="A19" s="60" t="s">
        <v>43</v>
      </c>
      <c r="B19" s="60" t="s">
        <v>105</v>
      </c>
      <c r="C19" s="60" t="s">
        <v>52</v>
      </c>
      <c r="D19" s="48">
        <f t="shared" si="1"/>
        <v>249830.24</v>
      </c>
      <c r="E19" s="62"/>
      <c r="F19" s="62"/>
      <c r="G19" s="61"/>
      <c r="H19" s="62"/>
      <c r="I19" s="61"/>
      <c r="J19" s="62"/>
      <c r="K19" s="62"/>
      <c r="L19" s="62">
        <f>7000+179353.1+24948+164179.02-127025.1+1375.22</f>
        <v>249830.24</v>
      </c>
      <c r="M19" s="61"/>
      <c r="N19" s="61"/>
      <c r="O19" s="61"/>
      <c r="P19" s="61"/>
      <c r="Q19" s="61"/>
      <c r="R19" s="61"/>
      <c r="S19" s="8">
        <f t="shared" si="2"/>
        <v>0.002143324852055278</v>
      </c>
    </row>
    <row r="20" spans="1:19" ht="12.75">
      <c r="A20" s="60" t="s">
        <v>43</v>
      </c>
      <c r="B20" s="60" t="s">
        <v>51</v>
      </c>
      <c r="C20" s="60" t="s">
        <v>118</v>
      </c>
      <c r="D20" s="48">
        <f t="shared" si="1"/>
        <v>12882.48</v>
      </c>
      <c r="E20" s="62"/>
      <c r="F20" s="62"/>
      <c r="G20" s="61"/>
      <c r="H20" s="62"/>
      <c r="I20" s="61"/>
      <c r="J20" s="62"/>
      <c r="K20" s="62"/>
      <c r="L20" s="62">
        <f>12882.48</f>
        <v>12882.48</v>
      </c>
      <c r="M20" s="61"/>
      <c r="N20" s="61"/>
      <c r="O20" s="61"/>
      <c r="P20" s="61"/>
      <c r="Q20" s="61"/>
      <c r="R20" s="61"/>
      <c r="S20" s="8">
        <f t="shared" si="2"/>
        <v>0.0001105204059368677</v>
      </c>
    </row>
    <row r="21" spans="1:19" ht="12.75">
      <c r="A21" s="60" t="s">
        <v>44</v>
      </c>
      <c r="B21" s="60" t="s">
        <v>56</v>
      </c>
      <c r="C21" s="60" t="s">
        <v>52</v>
      </c>
      <c r="D21" s="48">
        <f t="shared" si="1"/>
        <v>227353.5</v>
      </c>
      <c r="E21" s="62"/>
      <c r="F21" s="61"/>
      <c r="G21" s="61"/>
      <c r="H21" s="61"/>
      <c r="I21" s="61"/>
      <c r="J21" s="61"/>
      <c r="K21" s="61"/>
      <c r="L21" s="62"/>
      <c r="M21" s="62">
        <f>77049+10516.4+82340+57448.1</f>
        <v>227353.5</v>
      </c>
      <c r="N21" s="61"/>
      <c r="O21" s="61"/>
      <c r="P21" s="61"/>
      <c r="Q21" s="61"/>
      <c r="R21" s="61"/>
      <c r="S21" s="8">
        <f t="shared" si="2"/>
        <v>0.0019504940905142217</v>
      </c>
    </row>
    <row r="22" spans="1:19" ht="12.75">
      <c r="A22" s="60" t="s">
        <v>44</v>
      </c>
      <c r="B22" s="60" t="s">
        <v>59</v>
      </c>
      <c r="C22" s="60" t="s">
        <v>60</v>
      </c>
      <c r="D22" s="48">
        <f t="shared" si="1"/>
        <v>1293740.45</v>
      </c>
      <c r="E22" s="62"/>
      <c r="F22" s="61"/>
      <c r="G22" s="61"/>
      <c r="H22" s="61"/>
      <c r="I22" s="61"/>
      <c r="J22" s="61"/>
      <c r="K22" s="61"/>
      <c r="L22" s="62"/>
      <c r="M22" s="62">
        <f>1164177.98+129562.47</f>
        <v>1293740.45</v>
      </c>
      <c r="N22" s="61"/>
      <c r="O22" s="61"/>
      <c r="P22" s="61"/>
      <c r="Q22" s="61"/>
      <c r="R22" s="61"/>
      <c r="S22" s="8">
        <f t="shared" si="2"/>
        <v>0.011099161008668043</v>
      </c>
    </row>
    <row r="23" spans="1:19" ht="12.75">
      <c r="A23" s="60" t="s">
        <v>44</v>
      </c>
      <c r="B23" s="60" t="s">
        <v>61</v>
      </c>
      <c r="C23" s="60" t="s">
        <v>55</v>
      </c>
      <c r="D23" s="48">
        <f t="shared" si="1"/>
        <v>103229</v>
      </c>
      <c r="E23" s="62"/>
      <c r="F23" s="61"/>
      <c r="G23" s="61"/>
      <c r="H23" s="61"/>
      <c r="I23" s="61"/>
      <c r="J23" s="61"/>
      <c r="K23" s="61"/>
      <c r="L23" s="62"/>
      <c r="M23" s="62">
        <f>103229</f>
        <v>103229</v>
      </c>
      <c r="N23" s="61"/>
      <c r="O23" s="61"/>
      <c r="P23" s="61"/>
      <c r="Q23" s="61"/>
      <c r="R23" s="61"/>
      <c r="S23" s="8">
        <f t="shared" si="2"/>
        <v>0.0008856144922760925</v>
      </c>
    </row>
    <row r="24" spans="1:19" ht="12.75">
      <c r="A24" s="60" t="s">
        <v>45</v>
      </c>
      <c r="B24" s="60" t="s">
        <v>51</v>
      </c>
      <c r="C24" s="60" t="s">
        <v>55</v>
      </c>
      <c r="D24" s="48">
        <f t="shared" si="1"/>
        <v>35000</v>
      </c>
      <c r="E24" s="62"/>
      <c r="F24" s="61"/>
      <c r="G24" s="61"/>
      <c r="H24" s="61"/>
      <c r="I24" s="61"/>
      <c r="J24" s="61"/>
      <c r="K24" s="61"/>
      <c r="L24" s="62"/>
      <c r="M24" s="62"/>
      <c r="N24" s="62">
        <f>35000</f>
        <v>35000</v>
      </c>
      <c r="O24" s="61"/>
      <c r="P24" s="61"/>
      <c r="Q24" s="61"/>
      <c r="R24" s="61"/>
      <c r="S24" s="8">
        <f t="shared" si="2"/>
        <v>0.0003002693742035982</v>
      </c>
    </row>
    <row r="25" spans="1:19" ht="12.75">
      <c r="A25" s="60" t="s">
        <v>45</v>
      </c>
      <c r="B25" s="60" t="s">
        <v>117</v>
      </c>
      <c r="C25" s="60" t="s">
        <v>52</v>
      </c>
      <c r="D25" s="48">
        <f t="shared" si="1"/>
        <v>264342</v>
      </c>
      <c r="E25" s="62"/>
      <c r="F25" s="61"/>
      <c r="G25" s="61"/>
      <c r="H25" s="61"/>
      <c r="I25" s="61"/>
      <c r="J25" s="61"/>
      <c r="K25" s="61"/>
      <c r="L25" s="62"/>
      <c r="M25" s="62"/>
      <c r="N25" s="62">
        <f>264342</f>
        <v>264342</v>
      </c>
      <c r="O25" s="61"/>
      <c r="P25" s="61"/>
      <c r="Q25" s="61"/>
      <c r="R25" s="61"/>
      <c r="S25" s="8">
        <f t="shared" si="2"/>
        <v>0.002267823054735073</v>
      </c>
    </row>
    <row r="26" spans="1:19" ht="12.75">
      <c r="A26" s="60" t="s">
        <v>46</v>
      </c>
      <c r="B26" s="60" t="s">
        <v>121</v>
      </c>
      <c r="C26" s="60" t="s">
        <v>52</v>
      </c>
      <c r="D26" s="48">
        <f t="shared" si="1"/>
        <v>740298.0700000001</v>
      </c>
      <c r="E26" s="62"/>
      <c r="F26" s="61"/>
      <c r="G26" s="61"/>
      <c r="H26" s="61"/>
      <c r="I26" s="61"/>
      <c r="J26" s="61"/>
      <c r="K26" s="61"/>
      <c r="L26" s="62"/>
      <c r="M26" s="62"/>
      <c r="N26" s="62"/>
      <c r="O26" s="62">
        <f>248700.5+480764.53+10833.04</f>
        <v>740298.0700000001</v>
      </c>
      <c r="P26" s="61"/>
      <c r="Q26" s="61"/>
      <c r="R26" s="61"/>
      <c r="S26" s="8">
        <f t="shared" si="2"/>
        <v>0.006351109662943759</v>
      </c>
    </row>
    <row r="27" spans="1:19" ht="12.75">
      <c r="A27" s="60" t="s">
        <v>47</v>
      </c>
      <c r="B27" s="60" t="s">
        <v>106</v>
      </c>
      <c r="C27" s="60" t="s">
        <v>52</v>
      </c>
      <c r="D27" s="48">
        <f t="shared" si="1"/>
        <v>921263.9199999999</v>
      </c>
      <c r="E27" s="62"/>
      <c r="F27" s="61"/>
      <c r="G27" s="61"/>
      <c r="H27" s="61"/>
      <c r="I27" s="61"/>
      <c r="J27" s="61"/>
      <c r="K27" s="61"/>
      <c r="L27" s="62"/>
      <c r="M27" s="62"/>
      <c r="N27" s="62"/>
      <c r="O27" s="61"/>
      <c r="P27" s="62">
        <f>1800+5869.82+3981.1+328678+580935</f>
        <v>921263.9199999999</v>
      </c>
      <c r="Q27" s="61"/>
      <c r="R27" s="61"/>
      <c r="S27" s="8">
        <f t="shared" si="2"/>
        <v>0.00790363830670725</v>
      </c>
    </row>
    <row r="28" spans="1:19" ht="12.75">
      <c r="A28" s="60" t="s">
        <v>47</v>
      </c>
      <c r="B28" s="60" t="s">
        <v>107</v>
      </c>
      <c r="C28" s="60" t="s">
        <v>86</v>
      </c>
      <c r="D28" s="48">
        <f t="shared" si="1"/>
        <v>5038842.63</v>
      </c>
      <c r="E28" s="62"/>
      <c r="F28" s="61"/>
      <c r="G28" s="61"/>
      <c r="H28" s="61"/>
      <c r="I28" s="61"/>
      <c r="J28" s="61"/>
      <c r="K28" s="61"/>
      <c r="L28" s="62"/>
      <c r="M28" s="62"/>
      <c r="N28" s="62"/>
      <c r="O28" s="61"/>
      <c r="P28" s="62">
        <f>1490667.33+12600+3534434.3+1141</f>
        <v>5038842.63</v>
      </c>
      <c r="Q28" s="61"/>
      <c r="R28" s="61"/>
      <c r="S28" s="8">
        <f t="shared" si="2"/>
        <v>0.043228860663443225</v>
      </c>
    </row>
    <row r="29" spans="1:19" ht="12.75">
      <c r="A29" s="60" t="s">
        <v>47</v>
      </c>
      <c r="B29" s="60" t="s">
        <v>53</v>
      </c>
      <c r="C29" s="60" t="s">
        <v>120</v>
      </c>
      <c r="D29" s="48">
        <f t="shared" si="1"/>
        <v>1759464.78</v>
      </c>
      <c r="E29" s="62"/>
      <c r="F29" s="61"/>
      <c r="G29" s="61"/>
      <c r="H29" s="61"/>
      <c r="I29" s="61"/>
      <c r="J29" s="61"/>
      <c r="K29" s="61"/>
      <c r="L29" s="62"/>
      <c r="M29" s="62"/>
      <c r="N29" s="62"/>
      <c r="O29" s="61"/>
      <c r="P29" s="62">
        <f>1759464.78</f>
        <v>1759464.78</v>
      </c>
      <c r="Q29" s="61"/>
      <c r="R29" s="61"/>
      <c r="S29" s="8">
        <f t="shared" si="2"/>
        <v>0.015094668240682046</v>
      </c>
    </row>
    <row r="30" spans="1:20" ht="12.75">
      <c r="A30" s="60" t="s">
        <v>48</v>
      </c>
      <c r="B30" s="60" t="s">
        <v>123</v>
      </c>
      <c r="C30" s="60" t="s">
        <v>55</v>
      </c>
      <c r="D30" s="48">
        <f t="shared" si="1"/>
        <v>4225</v>
      </c>
      <c r="E30" s="62"/>
      <c r="F30" s="61"/>
      <c r="G30" s="61"/>
      <c r="H30" s="61"/>
      <c r="I30" s="61"/>
      <c r="J30" s="61"/>
      <c r="K30" s="61"/>
      <c r="L30" s="62"/>
      <c r="M30" s="62"/>
      <c r="N30" s="62"/>
      <c r="O30" s="61"/>
      <c r="P30" s="62"/>
      <c r="Q30" s="62">
        <f>3391+834</f>
        <v>4225</v>
      </c>
      <c r="R30" s="62"/>
      <c r="S30" s="8">
        <f t="shared" si="2"/>
        <v>3.624680302886293E-05</v>
      </c>
      <c r="T30" s="8">
        <f>SUM(S7:S30)</f>
        <v>0.14227252594745435</v>
      </c>
    </row>
    <row r="31" spans="1:19" ht="12.75">
      <c r="A31" s="2" t="s">
        <v>36</v>
      </c>
      <c r="B31" s="2" t="s">
        <v>62</v>
      </c>
      <c r="C31" t="s">
        <v>63</v>
      </c>
      <c r="D31" s="48">
        <f t="shared" si="1"/>
        <v>337235.04999999993</v>
      </c>
      <c r="E31" s="48">
        <f>1212.12+245500.96+229176.14-138654.17</f>
        <v>337235.04999999993</v>
      </c>
      <c r="S31" s="8">
        <f t="shared" si="2"/>
        <v>0.002893181640657689</v>
      </c>
    </row>
    <row r="32" spans="1:19" ht="12.75">
      <c r="A32" s="2" t="s">
        <v>36</v>
      </c>
      <c r="B32" s="2" t="s">
        <v>64</v>
      </c>
      <c r="C32" s="63" t="s">
        <v>65</v>
      </c>
      <c r="D32" s="48">
        <f t="shared" si="1"/>
        <v>162538.72999999998</v>
      </c>
      <c r="E32" s="48">
        <f>146679.55+15859.18</f>
        <v>162538.72999999998</v>
      </c>
      <c r="S32" s="8">
        <f t="shared" si="2"/>
        <v>0.0013944400783127888</v>
      </c>
    </row>
    <row r="33" spans="1:19" ht="12.75">
      <c r="A33" s="2" t="s">
        <v>36</v>
      </c>
      <c r="B33" s="2" t="s">
        <v>66</v>
      </c>
      <c r="C33" s="63" t="s">
        <v>65</v>
      </c>
      <c r="D33" s="48">
        <f t="shared" si="1"/>
        <v>1085598.76</v>
      </c>
      <c r="E33" s="48">
        <f>378504.55+707094.21</f>
        <v>1085598.76</v>
      </c>
      <c r="S33" s="8">
        <f t="shared" si="2"/>
        <v>0.009313487437182919</v>
      </c>
    </row>
    <row r="34" spans="1:19" ht="12.75">
      <c r="A34" s="2" t="s">
        <v>36</v>
      </c>
      <c r="B34" s="2" t="s">
        <v>88</v>
      </c>
      <c r="C34" s="63" t="s">
        <v>65</v>
      </c>
      <c r="D34" s="48">
        <f t="shared" si="1"/>
        <v>458717.69</v>
      </c>
      <c r="E34" s="48">
        <f>4492.79+454224.9</f>
        <v>458717.69</v>
      </c>
      <c r="S34" s="8">
        <f t="shared" si="2"/>
        <v>0.003935396391783433</v>
      </c>
    </row>
    <row r="35" spans="1:19" ht="12.75">
      <c r="A35" s="2" t="s">
        <v>36</v>
      </c>
      <c r="B35" s="2" t="s">
        <v>88</v>
      </c>
      <c r="C35" s="63" t="s">
        <v>108</v>
      </c>
      <c r="D35" s="48">
        <f t="shared" si="1"/>
        <v>250000</v>
      </c>
      <c r="E35" s="48">
        <f>250000</f>
        <v>250000</v>
      </c>
      <c r="S35" s="8">
        <f t="shared" si="2"/>
        <v>0.002144781244311416</v>
      </c>
    </row>
    <row r="36" spans="1:19" ht="12.75">
      <c r="A36" s="2" t="s">
        <v>36</v>
      </c>
      <c r="B36" s="2" t="s">
        <v>67</v>
      </c>
      <c r="C36" t="s">
        <v>68</v>
      </c>
      <c r="D36" s="48">
        <f t="shared" si="1"/>
        <v>2826751.92</v>
      </c>
      <c r="E36" s="48">
        <f>2826751.92</f>
        <v>2826751.92</v>
      </c>
      <c r="S36" s="8">
        <f t="shared" si="2"/>
        <v>0.02425105800134913</v>
      </c>
    </row>
    <row r="37" spans="1:19" ht="12.75">
      <c r="A37" s="2" t="s">
        <v>37</v>
      </c>
      <c r="B37" s="2" t="s">
        <v>64</v>
      </c>
      <c r="C37" s="63" t="s">
        <v>125</v>
      </c>
      <c r="D37" s="48">
        <f t="shared" si="1"/>
        <v>49703</v>
      </c>
      <c r="F37" s="48">
        <f>49703</f>
        <v>49703</v>
      </c>
      <c r="S37" s="8">
        <f t="shared" si="2"/>
        <v>0.0004264082487440412</v>
      </c>
    </row>
    <row r="38" spans="1:19" ht="12.75">
      <c r="A38" s="2" t="s">
        <v>40</v>
      </c>
      <c r="B38" s="2" t="s">
        <v>64</v>
      </c>
      <c r="C38" t="s">
        <v>109</v>
      </c>
      <c r="D38" s="48">
        <f t="shared" si="1"/>
        <v>10612.55</v>
      </c>
      <c r="I38" s="48">
        <f>10612.55</f>
        <v>10612.55</v>
      </c>
      <c r="S38" s="8">
        <f t="shared" si="2"/>
        <v>9.104639277726846E-05</v>
      </c>
    </row>
    <row r="39" spans="1:19" ht="12.75">
      <c r="A39" s="2" t="s">
        <v>40</v>
      </c>
      <c r="B39" s="2" t="s">
        <v>89</v>
      </c>
      <c r="C39" t="s">
        <v>70</v>
      </c>
      <c r="D39" s="48">
        <f t="shared" si="1"/>
        <v>9735482.41</v>
      </c>
      <c r="I39" s="48">
        <f>3055151.26+6680331.15</f>
        <v>9735482.41</v>
      </c>
      <c r="S39" s="8">
        <f aca="true" t="shared" si="3" ref="S39:S57">D39/$D$5</f>
        <v>0.0835219203091668</v>
      </c>
    </row>
    <row r="40" spans="1:19" ht="12.75">
      <c r="A40" s="2" t="s">
        <v>40</v>
      </c>
      <c r="B40" s="2" t="s">
        <v>67</v>
      </c>
      <c r="C40" t="s">
        <v>69</v>
      </c>
      <c r="D40" s="48">
        <f t="shared" si="1"/>
        <v>19576.74</v>
      </c>
      <c r="I40" s="48">
        <f>19538+38.74</f>
        <v>19576.74</v>
      </c>
      <c r="S40" s="8">
        <f t="shared" si="3"/>
        <v>0.00016795129910704426</v>
      </c>
    </row>
    <row r="41" spans="1:19" ht="12.75">
      <c r="A41" s="2" t="s">
        <v>40</v>
      </c>
      <c r="B41" s="2" t="s">
        <v>64</v>
      </c>
      <c r="C41" t="s">
        <v>100</v>
      </c>
      <c r="D41" s="48">
        <f t="shared" si="1"/>
        <v>11635</v>
      </c>
      <c r="I41" s="48">
        <f>11635</f>
        <v>11635</v>
      </c>
      <c r="S41" s="8">
        <f t="shared" si="3"/>
        <v>9.981811911025329E-05</v>
      </c>
    </row>
    <row r="42" spans="1:19" ht="12.75">
      <c r="A42" s="2" t="s">
        <v>40</v>
      </c>
      <c r="B42" s="2" t="s">
        <v>64</v>
      </c>
      <c r="C42" t="s">
        <v>126</v>
      </c>
      <c r="D42" s="48">
        <f t="shared" si="1"/>
        <v>725737.93</v>
      </c>
      <c r="I42" s="48">
        <f>725737.93</f>
        <v>725737.93</v>
      </c>
      <c r="S42" s="8">
        <f t="shared" si="3"/>
        <v>0.006226196402197565</v>
      </c>
    </row>
    <row r="43" spans="1:19" ht="12.75">
      <c r="A43" s="2" t="s">
        <v>42</v>
      </c>
      <c r="B43" s="2" t="s">
        <v>64</v>
      </c>
      <c r="C43" t="s">
        <v>71</v>
      </c>
      <c r="D43" s="48">
        <f t="shared" si="1"/>
        <v>3781.7599999999998</v>
      </c>
      <c r="K43" s="48">
        <f>22.31+3759.45</f>
        <v>3781.7599999999998</v>
      </c>
      <c r="S43" s="8">
        <f t="shared" si="3"/>
        <v>3.244419167394855E-05</v>
      </c>
    </row>
    <row r="44" spans="1:19" ht="12.75">
      <c r="A44" s="2" t="s">
        <v>43</v>
      </c>
      <c r="B44" s="2" t="s">
        <v>62</v>
      </c>
      <c r="C44" t="s">
        <v>73</v>
      </c>
      <c r="D44" s="48">
        <f t="shared" si="1"/>
        <v>1430320.54</v>
      </c>
      <c r="L44" s="48">
        <f>416037.3+845593.3+168689.94</f>
        <v>1430320.54</v>
      </c>
      <c r="S44" s="8">
        <f t="shared" si="3"/>
        <v>0.012270898670181505</v>
      </c>
    </row>
    <row r="45" spans="1:19" ht="12.75">
      <c r="A45" s="2" t="s">
        <v>44</v>
      </c>
      <c r="B45" s="2" t="s">
        <v>67</v>
      </c>
      <c r="C45" t="s">
        <v>74</v>
      </c>
      <c r="D45" s="48">
        <f t="shared" si="1"/>
        <v>6738</v>
      </c>
      <c r="M45" s="48">
        <f>6738</f>
        <v>6738</v>
      </c>
      <c r="S45" s="8">
        <f t="shared" si="3"/>
        <v>5.780614409668127E-05</v>
      </c>
    </row>
    <row r="46" spans="1:19" ht="12.75">
      <c r="A46" s="2" t="s">
        <v>45</v>
      </c>
      <c r="B46" s="2" t="s">
        <v>66</v>
      </c>
      <c r="C46" t="s">
        <v>75</v>
      </c>
      <c r="D46" s="48">
        <f t="shared" si="1"/>
        <v>1130085.3</v>
      </c>
      <c r="N46" s="48">
        <f>1130085.3</f>
        <v>1130085.3</v>
      </c>
      <c r="S46" s="8">
        <f t="shared" si="3"/>
        <v>0.009695143023648158</v>
      </c>
    </row>
    <row r="47" spans="1:19" ht="12.75">
      <c r="A47" s="2" t="s">
        <v>46</v>
      </c>
      <c r="B47" s="2" t="s">
        <v>110</v>
      </c>
      <c r="C47" t="s">
        <v>76</v>
      </c>
      <c r="D47" s="48">
        <f t="shared" si="1"/>
        <v>7727056.2299999995</v>
      </c>
      <c r="O47" s="48">
        <f>3934048.32+155249.67+19854.14+3617206.39+188.11+509.6</f>
        <v>7727056.2299999995</v>
      </c>
      <c r="S47" s="8">
        <f t="shared" si="3"/>
        <v>0.06629138110337471</v>
      </c>
    </row>
    <row r="48" spans="1:19" ht="12.75">
      <c r="A48" s="2" t="s">
        <v>46</v>
      </c>
      <c r="B48" s="2" t="s">
        <v>77</v>
      </c>
      <c r="C48" t="s">
        <v>78</v>
      </c>
      <c r="D48" s="48">
        <f t="shared" si="1"/>
        <v>9856481.99</v>
      </c>
      <c r="O48" s="48">
        <f>4675318.69+5181163.3</f>
        <v>9856481.99</v>
      </c>
      <c r="S48" s="8">
        <f t="shared" si="3"/>
        <v>0.08455999082818104</v>
      </c>
    </row>
    <row r="49" spans="1:19" ht="12.75">
      <c r="A49" s="2" t="s">
        <v>46</v>
      </c>
      <c r="B49" s="2" t="s">
        <v>64</v>
      </c>
      <c r="C49" t="s">
        <v>127</v>
      </c>
      <c r="D49" s="48">
        <f t="shared" si="1"/>
        <v>58490.83</v>
      </c>
      <c r="O49" s="48">
        <f>58490.83</f>
        <v>58490.83</v>
      </c>
      <c r="S49" s="8">
        <f t="shared" si="3"/>
        <v>0.00050180014059283</v>
      </c>
    </row>
    <row r="50" spans="1:19" ht="12.75">
      <c r="A50" s="2" t="s">
        <v>47</v>
      </c>
      <c r="B50" s="2" t="s">
        <v>88</v>
      </c>
      <c r="C50" t="s">
        <v>111</v>
      </c>
      <c r="D50" s="48">
        <f t="shared" si="1"/>
        <v>2619309.05</v>
      </c>
      <c r="P50" s="48">
        <f>353084+2266225.05</f>
        <v>2619309.05</v>
      </c>
      <c r="S50" s="8">
        <f t="shared" si="3"/>
        <v>0.022471379693980605</v>
      </c>
    </row>
    <row r="51" spans="1:19" ht="12.75">
      <c r="A51" s="2" t="s">
        <v>47</v>
      </c>
      <c r="B51" s="2" t="s">
        <v>79</v>
      </c>
      <c r="C51" t="s">
        <v>80</v>
      </c>
      <c r="D51" s="48">
        <f t="shared" si="1"/>
        <v>5808501.71</v>
      </c>
      <c r="P51" s="48">
        <f>1840149.77+3968351.94</f>
        <v>5808501.71</v>
      </c>
      <c r="S51" s="8">
        <f t="shared" si="3"/>
        <v>0.049831862100635144</v>
      </c>
    </row>
    <row r="52" spans="1:19" ht="12.75">
      <c r="A52" s="2" t="s">
        <v>47</v>
      </c>
      <c r="B52" s="2" t="s">
        <v>89</v>
      </c>
      <c r="C52" t="s">
        <v>70</v>
      </c>
      <c r="D52" s="48">
        <f t="shared" si="1"/>
        <v>1740531.01</v>
      </c>
      <c r="P52" s="48">
        <f>8718.72+308953.71+1356101.04+66757.54</f>
        <v>1740531.01</v>
      </c>
      <c r="S52" s="8">
        <f t="shared" si="3"/>
        <v>0.01493223306156162</v>
      </c>
    </row>
    <row r="53" spans="1:19" ht="12.75">
      <c r="A53" s="2" t="s">
        <v>47</v>
      </c>
      <c r="B53" s="2" t="s">
        <v>124</v>
      </c>
      <c r="C53" t="s">
        <v>81</v>
      </c>
      <c r="D53" s="48">
        <f t="shared" si="1"/>
        <v>2701602.57</v>
      </c>
      <c r="P53" s="48">
        <f>251404+1301825.12+4992.54+853345.01+290035.9</f>
        <v>2701602.57</v>
      </c>
      <c r="S53" s="8">
        <f t="shared" si="3"/>
        <v>0.023177386086878072</v>
      </c>
    </row>
    <row r="54" spans="1:19" ht="12.75">
      <c r="A54" s="2" t="s">
        <v>47</v>
      </c>
      <c r="B54" s="2" t="s">
        <v>90</v>
      </c>
      <c r="C54" t="s">
        <v>82</v>
      </c>
      <c r="D54" s="48">
        <f t="shared" si="1"/>
        <v>7662211.5</v>
      </c>
      <c r="P54" s="48">
        <f>5407128.19+26552+2147099.31+81432</f>
        <v>7662211.5</v>
      </c>
      <c r="S54" s="8">
        <f t="shared" si="3"/>
        <v>0.06573507006058896</v>
      </c>
    </row>
    <row r="55" spans="1:20" ht="12.75">
      <c r="A55" s="2" t="s">
        <v>47</v>
      </c>
      <c r="B55" s="2" t="s">
        <v>72</v>
      </c>
      <c r="C55" t="s">
        <v>83</v>
      </c>
      <c r="D55" s="48">
        <f t="shared" si="1"/>
        <v>6800683.55</v>
      </c>
      <c r="P55" s="48">
        <f>3845755.34+2954928.21</f>
        <v>6800683.55</v>
      </c>
      <c r="S55" s="8">
        <f t="shared" si="3"/>
        <v>0.0583439141061487</v>
      </c>
      <c r="T55" s="8"/>
    </row>
    <row r="56" spans="1:20" ht="12.75">
      <c r="A56" s="2" t="s">
        <v>47</v>
      </c>
      <c r="B56" s="2" t="s">
        <v>64</v>
      </c>
      <c r="C56" t="s">
        <v>112</v>
      </c>
      <c r="D56" s="48">
        <f t="shared" si="1"/>
        <v>38703</v>
      </c>
      <c r="P56" s="48">
        <f>29970+8733</f>
        <v>38703</v>
      </c>
      <c r="S56" s="8">
        <f t="shared" si="3"/>
        <v>0.0003320378739943389</v>
      </c>
      <c r="T56" s="8"/>
    </row>
    <row r="57" spans="1:20" ht="12.75">
      <c r="A57" s="2"/>
      <c r="B57" s="2"/>
      <c r="C57" t="s">
        <v>128</v>
      </c>
      <c r="D57" s="48">
        <f>SUM(E57:R57)</f>
        <v>36720346.449999996</v>
      </c>
      <c r="R57" s="48">
        <f>79871039.91-43150693.46</f>
        <v>36720346.449999996</v>
      </c>
      <c r="S57" s="8">
        <f t="shared" si="3"/>
        <v>0.31502844140230907</v>
      </c>
      <c r="T57" s="8">
        <f>SUM(S31:S57)</f>
        <v>0.8577274740525458</v>
      </c>
    </row>
    <row r="58" spans="3:19" ht="12.75">
      <c r="C58" s="72" t="s">
        <v>113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5"/>
    </row>
    <row r="59" spans="2:19" s="8" customFormat="1" ht="13.5" thickBot="1">
      <c r="B59" s="66"/>
      <c r="C59" s="67" t="s">
        <v>84</v>
      </c>
      <c r="D59" s="68">
        <f>SUM(E59:R59)</f>
        <v>1</v>
      </c>
      <c r="E59" s="69">
        <f>E5/D5</f>
        <v>0.07337011029139735</v>
      </c>
      <c r="F59" s="69">
        <f>F5/D5</f>
        <v>0.006486008510415967</v>
      </c>
      <c r="G59" s="69">
        <f>G5/D5</f>
        <v>0.0009274843111887915</v>
      </c>
      <c r="H59" s="69">
        <f>H5/D5</f>
        <v>0.006361244354861878</v>
      </c>
      <c r="I59" s="69">
        <f>I5/D5</f>
        <v>0.09792329401801267</v>
      </c>
      <c r="J59" s="69">
        <f>J5/D5</f>
        <v>0.0001567835089591645</v>
      </c>
      <c r="K59" s="69">
        <f>K5/D5</f>
        <v>0.00017399975379850198</v>
      </c>
      <c r="L59" s="69">
        <f>L5/D5</f>
        <v>0.01452474392817365</v>
      </c>
      <c r="M59" s="69">
        <f>M5/D5</f>
        <v>0.013993075735555038</v>
      </c>
      <c r="N59" s="69">
        <f>N5/D5</f>
        <v>0.01226323545258683</v>
      </c>
      <c r="O59" s="69">
        <f>O5/D5</f>
        <v>0.1577042817350923</v>
      </c>
      <c r="P59" s="69">
        <f>P5/D5</f>
        <v>0.30105105019462</v>
      </c>
      <c r="Q59" s="69">
        <f>Q5/D5</f>
        <v>3.624680302886293E-05</v>
      </c>
      <c r="R59" s="69">
        <f>R5/D5</f>
        <v>0.31502844140230907</v>
      </c>
      <c r="S59" s="69">
        <f>SUM(S6:S58)</f>
        <v>1.0000000000000002</v>
      </c>
    </row>
    <row r="60" spans="1:19" s="8" customFormat="1" ht="13.5" thickTop="1">
      <c r="A60" s="70"/>
      <c r="C60" s="6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</row>
    <row r="62" ht="12.75">
      <c r="E62" s="8"/>
    </row>
  </sheetData>
  <sheetProtection/>
  <printOptions/>
  <pageMargins left="0" right="0" top="0.25" bottom="0.5" header="0.5" footer="0.25"/>
  <pageSetup horizontalDpi="600" verticalDpi="6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Mei-Chin Yang</dc:creator>
  <cp:keywords/>
  <dc:description/>
  <cp:lastModifiedBy>Eric Nicholson</cp:lastModifiedBy>
  <cp:lastPrinted>2023-02-09T15:04:45Z</cp:lastPrinted>
  <dcterms:created xsi:type="dcterms:W3CDTF">2011-02-21T16:49:07Z</dcterms:created>
  <dcterms:modified xsi:type="dcterms:W3CDTF">2023-02-09T15:04:51Z</dcterms:modified>
  <cp:category/>
  <cp:version/>
  <cp:contentType/>
  <cp:contentStatus/>
</cp:coreProperties>
</file>