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threadedComments/threadedComment1.xml" ContentType="application/vnd.ms-excel.threadedcomments+xml"/>
  <Override PartName="/xl/comments5.xml" ContentType="application/vnd.openxmlformats-officedocument.spreadsheetml.comments+xml"/>
  <Override PartName="/xl/comments6.xml" ContentType="application/vnd.openxmlformats-officedocument.spreadsheetml.comments+xml"/>
  <Override PartName="/xl/threadedComments/threadedComment2.xml" ContentType="application/vnd.ms-excel.threadedcomments+xml"/>
  <Override PartName="/xl/comments7.xml" ContentType="application/vnd.openxmlformats-officedocument.spreadsheetml.comments+xml"/>
  <Override PartName="/xl/comments8.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24226"/>
  <mc:AlternateContent xmlns:mc="http://schemas.openxmlformats.org/markup-compatibility/2006">
    <mc:Choice Requires="x15">
      <x15ac:absPath xmlns:x15ac="http://schemas.microsoft.com/office/spreadsheetml/2010/11/ac" url="P:\eln\debt\FY24\"/>
    </mc:Choice>
  </mc:AlternateContent>
  <xr:revisionPtr revIDLastSave="0" documentId="13_ncr:1_{B4F39F16-2157-45CF-9A21-DDA1411AAA4F}" xr6:coauthVersionLast="47" xr6:coauthVersionMax="47" xr10:uidLastSave="{00000000-0000-0000-0000-000000000000}"/>
  <bookViews>
    <workbookView xWindow="-108" yWindow="-108" windowWidth="23256" windowHeight="12576" xr2:uid="{00000000-000D-0000-FFFF-FFFF00000000}"/>
  </bookViews>
  <sheets>
    <sheet name="2022A Revised" sheetId="15" r:id="rId1"/>
    <sheet name="20-Year Acad Revised" sheetId="14" r:id="rId2"/>
    <sheet name="20-Year Fac Renewal Acad" sheetId="20" r:id="rId3"/>
    <sheet name="10-Year Fac Renewal Revised" sheetId="13" r:id="rId4"/>
    <sheet name="Adjustment-42nd Amendment" sheetId="16" state="hidden" r:id="rId5"/>
    <sheet name="Percentage-082222" sheetId="11" r:id="rId6"/>
    <sheet name="Percentage-082222 Revised" sheetId="12" r:id="rId7"/>
    <sheet name="Percentage-021423" sheetId="17" r:id="rId8"/>
    <sheet name="Percentage 8-14-23" sheetId="18" r:id="rId9"/>
    <sheet name="summary 8-14-23" sheetId="21" state="hidden" r:id="rId10"/>
    <sheet name="Percentage 02-14-24" sheetId="24" r:id="rId11"/>
    <sheet name="summary 2-14-24" sheetId="25" state="hidden" r:id="rId12"/>
    <sheet name="Percentage Final" sheetId="26" r:id="rId13"/>
    <sheet name="summary Final 4-19-24" sheetId="28" state="hidden" r:id="rId14"/>
  </sheets>
  <externalReferences>
    <externalReference r:id="rId15"/>
    <externalReference r:id="rId16"/>
    <externalReference r:id="rId17"/>
    <externalReference r:id="rId18"/>
    <externalReference r:id="rId19"/>
  </externalReferences>
  <definedNames>
    <definedName name="_xlnm._FilterDatabase" localSheetId="0" hidden="1">'2022A Revised'!$BO$1:$BO$599</definedName>
    <definedName name="_xlnm._FilterDatabase" localSheetId="1" hidden="1">'20-Year Acad Revised'!$H$1:$H$54</definedName>
    <definedName name="_xlnm.Print_Area" localSheetId="3">'10-Year Fac Renewal Revised'!$A$1:$BW$28</definedName>
    <definedName name="_xlnm.Print_Area" localSheetId="0">'2022A Revised'!$A$1:$CK$69</definedName>
    <definedName name="_xlnm.Print_Area" localSheetId="2">'20-Year Fac Renewal Acad'!$A$1:$BW$48</definedName>
    <definedName name="_xlnm.Print_Area" localSheetId="10">'Percentage 02-14-24'!$B$115:$E$554</definedName>
    <definedName name="_xlnm.Print_Area" localSheetId="12">'Percentage Final'!$A$12:$S$83</definedName>
    <definedName name="_xlnm.Print_Titles" localSheetId="3">'10-Year Fac Renewal Revised'!$A:$A</definedName>
    <definedName name="_xlnm.Print_Titles" localSheetId="0">'2022A Revised'!$A:$A</definedName>
    <definedName name="_xlnm.Print_Titles" localSheetId="1">'20-Year Acad Revised'!$A:$A</definedName>
    <definedName name="_xlnm.Print_Titles" localSheetId="2">'20-Year Fac Renewal Acad'!$A:$A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6" i="13" l="1"/>
  <c r="K25" i="13"/>
  <c r="K24" i="13"/>
  <c r="K23" i="13"/>
  <c r="K22" i="13"/>
  <c r="K21" i="13"/>
  <c r="K20" i="13"/>
  <c r="K19" i="13"/>
  <c r="K18" i="13"/>
  <c r="K17" i="13"/>
  <c r="K16" i="13"/>
  <c r="K15" i="13"/>
  <c r="K14" i="13"/>
  <c r="K13" i="13"/>
  <c r="K12" i="13"/>
  <c r="K11" i="13"/>
  <c r="K10" i="13"/>
  <c r="K9" i="13"/>
  <c r="K28" i="13" s="1"/>
  <c r="AI47" i="15"/>
  <c r="AI46" i="15"/>
  <c r="AI45" i="15"/>
  <c r="AI44" i="15"/>
  <c r="AI43" i="15"/>
  <c r="AI42" i="15"/>
  <c r="AI41" i="15"/>
  <c r="AI40" i="15"/>
  <c r="AI39" i="15"/>
  <c r="AI38" i="15"/>
  <c r="AI37" i="15"/>
  <c r="AI36" i="15"/>
  <c r="AI35" i="15"/>
  <c r="AI34" i="15"/>
  <c r="AI33" i="15"/>
  <c r="AI32" i="15"/>
  <c r="AI31" i="15"/>
  <c r="AI30" i="15"/>
  <c r="AI29" i="15"/>
  <c r="AI28" i="15"/>
  <c r="AI27" i="15"/>
  <c r="AI26" i="15"/>
  <c r="AI25" i="15"/>
  <c r="AI24" i="15"/>
  <c r="AI23" i="15"/>
  <c r="AI22" i="15"/>
  <c r="AI21" i="15"/>
  <c r="AI20" i="15"/>
  <c r="AI19" i="15"/>
  <c r="AI18" i="15"/>
  <c r="AI17" i="15"/>
  <c r="AI16" i="15"/>
  <c r="AI15" i="15"/>
  <c r="AI14" i="15"/>
  <c r="AI13" i="15"/>
  <c r="AI12" i="15"/>
  <c r="AI11" i="15"/>
  <c r="AI10" i="15"/>
  <c r="AI69" i="15" s="1"/>
  <c r="K46" i="20"/>
  <c r="K45" i="20"/>
  <c r="K44" i="20"/>
  <c r="K43" i="20"/>
  <c r="K42" i="20"/>
  <c r="K41" i="20"/>
  <c r="K40" i="20"/>
  <c r="K39" i="20"/>
  <c r="K38" i="20"/>
  <c r="K37" i="20"/>
  <c r="K36" i="20"/>
  <c r="K35" i="20"/>
  <c r="K34" i="20"/>
  <c r="K33" i="20"/>
  <c r="K32" i="20"/>
  <c r="K31" i="20"/>
  <c r="K30" i="20"/>
  <c r="K29" i="20"/>
  <c r="K28" i="20"/>
  <c r="K27" i="20"/>
  <c r="K26" i="20"/>
  <c r="K25" i="20"/>
  <c r="K24" i="20"/>
  <c r="K23" i="20"/>
  <c r="K22" i="20"/>
  <c r="K21" i="20"/>
  <c r="K20" i="20"/>
  <c r="K19" i="20"/>
  <c r="K18" i="20"/>
  <c r="K17" i="20"/>
  <c r="K16" i="20"/>
  <c r="K15" i="20"/>
  <c r="K14" i="20"/>
  <c r="K13" i="20"/>
  <c r="K12" i="20"/>
  <c r="K11" i="20"/>
  <c r="K10" i="20"/>
  <c r="K48" i="20" s="1"/>
  <c r="K9" i="20"/>
  <c r="K46" i="14"/>
  <c r="K45" i="14"/>
  <c r="K44" i="14"/>
  <c r="K43" i="14"/>
  <c r="K42" i="14"/>
  <c r="K41" i="14"/>
  <c r="K40" i="14"/>
  <c r="K39" i="14"/>
  <c r="K38" i="14"/>
  <c r="K37" i="14"/>
  <c r="K36" i="14"/>
  <c r="K35" i="14"/>
  <c r="K34" i="14"/>
  <c r="K33" i="14"/>
  <c r="K32" i="14"/>
  <c r="K31" i="14"/>
  <c r="K30" i="14"/>
  <c r="K29" i="14"/>
  <c r="K28" i="14"/>
  <c r="K27" i="14"/>
  <c r="K26" i="14"/>
  <c r="K25" i="14"/>
  <c r="K24" i="14"/>
  <c r="K23" i="14"/>
  <c r="K22" i="14"/>
  <c r="K21" i="14"/>
  <c r="K20" i="14"/>
  <c r="K19" i="14"/>
  <c r="K18" i="14"/>
  <c r="K17" i="14"/>
  <c r="K16" i="14"/>
  <c r="K15" i="14"/>
  <c r="K14" i="14"/>
  <c r="K13" i="14"/>
  <c r="K12" i="14"/>
  <c r="K11" i="14"/>
  <c r="K10" i="14"/>
  <c r="K9" i="14"/>
  <c r="K48" i="14" s="1"/>
  <c r="AN47" i="15"/>
  <c r="AN46" i="15"/>
  <c r="AN45" i="15"/>
  <c r="AN44" i="15"/>
  <c r="AN43" i="15"/>
  <c r="AN42" i="15"/>
  <c r="AN41" i="15"/>
  <c r="AN40" i="15"/>
  <c r="AN39" i="15"/>
  <c r="AN38" i="15"/>
  <c r="AN37" i="15"/>
  <c r="AN36" i="15"/>
  <c r="AN35" i="15"/>
  <c r="AN34" i="15"/>
  <c r="AN33" i="15"/>
  <c r="AN32" i="15"/>
  <c r="AN31" i="15"/>
  <c r="AN30" i="15"/>
  <c r="AN29" i="15"/>
  <c r="AN28" i="15"/>
  <c r="AN27" i="15"/>
  <c r="AN26" i="15"/>
  <c r="AN25" i="15"/>
  <c r="AN24" i="15"/>
  <c r="AN23" i="15"/>
  <c r="AN22" i="15"/>
  <c r="AN21" i="15"/>
  <c r="AN20" i="15"/>
  <c r="AN19" i="15"/>
  <c r="AN18" i="15"/>
  <c r="AN17" i="15"/>
  <c r="AN16" i="15"/>
  <c r="AN15" i="15"/>
  <c r="AN14" i="15"/>
  <c r="AN13" i="15"/>
  <c r="AN12" i="15"/>
  <c r="AN11" i="15"/>
  <c r="AN10" i="15"/>
  <c r="AN69" i="15" s="1"/>
  <c r="CL67" i="15"/>
  <c r="CL66" i="15"/>
  <c r="CL65" i="15"/>
  <c r="CL64" i="15"/>
  <c r="CL63" i="15"/>
  <c r="CL62" i="15"/>
  <c r="CL61" i="15"/>
  <c r="CL60" i="15"/>
  <c r="CL59" i="15"/>
  <c r="CL58" i="15"/>
  <c r="CL57" i="15"/>
  <c r="CL56" i="15"/>
  <c r="CL55" i="15"/>
  <c r="CL54" i="15"/>
  <c r="CL53" i="15"/>
  <c r="CL52" i="15"/>
  <c r="CL51" i="15"/>
  <c r="CL50" i="15"/>
  <c r="CL49" i="15"/>
  <c r="CL48" i="15"/>
  <c r="CL47" i="15"/>
  <c r="CL46" i="15"/>
  <c r="CL45" i="15"/>
  <c r="CL44" i="15"/>
  <c r="CL43" i="15"/>
  <c r="CL42" i="15"/>
  <c r="CL41" i="15"/>
  <c r="CL40" i="15"/>
  <c r="CL39" i="15"/>
  <c r="CL38" i="15"/>
  <c r="CL37" i="15"/>
  <c r="CL36" i="15"/>
  <c r="CL35" i="15"/>
  <c r="CL34" i="15"/>
  <c r="CL33" i="15"/>
  <c r="CL32" i="15"/>
  <c r="CL31" i="15"/>
  <c r="CL30" i="15"/>
  <c r="CL29" i="15"/>
  <c r="CL28" i="15"/>
  <c r="CL27" i="15"/>
  <c r="CL26" i="15"/>
  <c r="CL25" i="15"/>
  <c r="CL24" i="15"/>
  <c r="CL23" i="15"/>
  <c r="CL22" i="15"/>
  <c r="CL21" i="15"/>
  <c r="CL20" i="15"/>
  <c r="CL19" i="15"/>
  <c r="CL18" i="15"/>
  <c r="CL17" i="15"/>
  <c r="CL16" i="15"/>
  <c r="CL15" i="15"/>
  <c r="CL14" i="15"/>
  <c r="CL13" i="15"/>
  <c r="CL12" i="15"/>
  <c r="CL11" i="15"/>
  <c r="CL69" i="15"/>
  <c r="CG67" i="15"/>
  <c r="CG66" i="15"/>
  <c r="CG65" i="15"/>
  <c r="CG64" i="15"/>
  <c r="CG63" i="15"/>
  <c r="CG62" i="15"/>
  <c r="CG61" i="15"/>
  <c r="CG60" i="15"/>
  <c r="CG59" i="15"/>
  <c r="CG58" i="15"/>
  <c r="CG57" i="15"/>
  <c r="CG56" i="15"/>
  <c r="CG55" i="15"/>
  <c r="CG54" i="15"/>
  <c r="CG53" i="15"/>
  <c r="CG52" i="15"/>
  <c r="CG51" i="15"/>
  <c r="CG50" i="15"/>
  <c r="CG49" i="15"/>
  <c r="CG48" i="15"/>
  <c r="CG47" i="15"/>
  <c r="CG46" i="15"/>
  <c r="CG45" i="15"/>
  <c r="CG44" i="15"/>
  <c r="CG43" i="15"/>
  <c r="CG42" i="15"/>
  <c r="CG41" i="15"/>
  <c r="CG40" i="15"/>
  <c r="CG39" i="15"/>
  <c r="CG38" i="15"/>
  <c r="CG37" i="15"/>
  <c r="CG36" i="15"/>
  <c r="CG35" i="15"/>
  <c r="CG34" i="15"/>
  <c r="CG33" i="15"/>
  <c r="CG32" i="15"/>
  <c r="CG31" i="15"/>
  <c r="CG30" i="15"/>
  <c r="CG29" i="15"/>
  <c r="CG28" i="15"/>
  <c r="CG27" i="15"/>
  <c r="CG26" i="15"/>
  <c r="CG25" i="15"/>
  <c r="CG24" i="15"/>
  <c r="CG23" i="15"/>
  <c r="CG22" i="15"/>
  <c r="CG21" i="15"/>
  <c r="CG20" i="15"/>
  <c r="CG19" i="15"/>
  <c r="CG18" i="15"/>
  <c r="CG17" i="15"/>
  <c r="CG16" i="15"/>
  <c r="CG15" i="15"/>
  <c r="CG14" i="15"/>
  <c r="CG13" i="15"/>
  <c r="CG12" i="15"/>
  <c r="CG11" i="15"/>
  <c r="CG10" i="15"/>
  <c r="CG69" i="15" s="1"/>
  <c r="BW67" i="15"/>
  <c r="BW66" i="15"/>
  <c r="BW65" i="15"/>
  <c r="BW64" i="15"/>
  <c r="BW63" i="15"/>
  <c r="BW62" i="15"/>
  <c r="BW61" i="15"/>
  <c r="BW60" i="15"/>
  <c r="BW59" i="15"/>
  <c r="BW58" i="15"/>
  <c r="BW57" i="15"/>
  <c r="BW56" i="15"/>
  <c r="BW55" i="15"/>
  <c r="BW54" i="15"/>
  <c r="BW53" i="15"/>
  <c r="BW52" i="15"/>
  <c r="BW51" i="15"/>
  <c r="BW50" i="15"/>
  <c r="BW49" i="15"/>
  <c r="BW48" i="15"/>
  <c r="BW47" i="15"/>
  <c r="BW46" i="15"/>
  <c r="BW45" i="15"/>
  <c r="BW44" i="15"/>
  <c r="BW43" i="15"/>
  <c r="BW42" i="15"/>
  <c r="BW41" i="15"/>
  <c r="BW40" i="15"/>
  <c r="BW39" i="15"/>
  <c r="BW38" i="15"/>
  <c r="BW37" i="15"/>
  <c r="BW36" i="15"/>
  <c r="BW35" i="15"/>
  <c r="BW34" i="15"/>
  <c r="BW33" i="15"/>
  <c r="BW32" i="15"/>
  <c r="BW31" i="15"/>
  <c r="BW30" i="15"/>
  <c r="BW29" i="15"/>
  <c r="BW28" i="15"/>
  <c r="BW27" i="15"/>
  <c r="BW26" i="15"/>
  <c r="BW25" i="15"/>
  <c r="BW24" i="15"/>
  <c r="BW23" i="15"/>
  <c r="BW22" i="15"/>
  <c r="BW21" i="15"/>
  <c r="BW20" i="15"/>
  <c r="BW19" i="15"/>
  <c r="BW18" i="15"/>
  <c r="BW17" i="15"/>
  <c r="BW16" i="15"/>
  <c r="BW15" i="15"/>
  <c r="BW14" i="15"/>
  <c r="BW13" i="15"/>
  <c r="BW12" i="15"/>
  <c r="BW11" i="15"/>
  <c r="BW10" i="15"/>
  <c r="BW69" i="15" s="1"/>
  <c r="BR67" i="15"/>
  <c r="BR66" i="15"/>
  <c r="BR65" i="15"/>
  <c r="BR64" i="15"/>
  <c r="BR63" i="15"/>
  <c r="BR62" i="15"/>
  <c r="BR61" i="15"/>
  <c r="BR60" i="15"/>
  <c r="BR59" i="15"/>
  <c r="BR58" i="15"/>
  <c r="BR57" i="15"/>
  <c r="BR56" i="15"/>
  <c r="BR55" i="15"/>
  <c r="BR54" i="15"/>
  <c r="BR53" i="15"/>
  <c r="BR52" i="15"/>
  <c r="BR51" i="15"/>
  <c r="BR50" i="15"/>
  <c r="BR49" i="15"/>
  <c r="BR48" i="15"/>
  <c r="BR47" i="15"/>
  <c r="BR46" i="15"/>
  <c r="BR45" i="15"/>
  <c r="BR44" i="15"/>
  <c r="BR43" i="15"/>
  <c r="BR42" i="15"/>
  <c r="BR41" i="15"/>
  <c r="BR40" i="15"/>
  <c r="BR39" i="15"/>
  <c r="BR38" i="15"/>
  <c r="BR37" i="15"/>
  <c r="BR36" i="15"/>
  <c r="BR35" i="15"/>
  <c r="BR34" i="15"/>
  <c r="BR33" i="15"/>
  <c r="BR32" i="15"/>
  <c r="BR31" i="15"/>
  <c r="BR30" i="15"/>
  <c r="BR29" i="15"/>
  <c r="BR28" i="15"/>
  <c r="BR27" i="15"/>
  <c r="BR26" i="15"/>
  <c r="BR25" i="15"/>
  <c r="BR24" i="15"/>
  <c r="BR23" i="15"/>
  <c r="BR22" i="15"/>
  <c r="BR21" i="15"/>
  <c r="BR20" i="15"/>
  <c r="BR19" i="15"/>
  <c r="BR18" i="15"/>
  <c r="BR17" i="15"/>
  <c r="BR16" i="15"/>
  <c r="BR15" i="15"/>
  <c r="BR14" i="15"/>
  <c r="BR13" i="15"/>
  <c r="BR12" i="15"/>
  <c r="BR11" i="15"/>
  <c r="BR10" i="15"/>
  <c r="BR69" i="15" s="1"/>
  <c r="BM67" i="15"/>
  <c r="BM66" i="15"/>
  <c r="BM65" i="15"/>
  <c r="BM64" i="15"/>
  <c r="BM63" i="15"/>
  <c r="BM62" i="15"/>
  <c r="BM61" i="15"/>
  <c r="BM60" i="15"/>
  <c r="BM59" i="15"/>
  <c r="BM58" i="15"/>
  <c r="BM57" i="15"/>
  <c r="BM56" i="15"/>
  <c r="BM55" i="15"/>
  <c r="BM54" i="15"/>
  <c r="BM53" i="15"/>
  <c r="BM52" i="15"/>
  <c r="BM51" i="15"/>
  <c r="BM50" i="15"/>
  <c r="BM49" i="15"/>
  <c r="BM48" i="15"/>
  <c r="BM47" i="15"/>
  <c r="BM46" i="15"/>
  <c r="BM45" i="15"/>
  <c r="BM44" i="15"/>
  <c r="BM43" i="15"/>
  <c r="BM42" i="15"/>
  <c r="BM41" i="15"/>
  <c r="BM40" i="15"/>
  <c r="BM39" i="15"/>
  <c r="BM38" i="15"/>
  <c r="BM37" i="15"/>
  <c r="BM36" i="15"/>
  <c r="BM35" i="15"/>
  <c r="BM34" i="15"/>
  <c r="BM33" i="15"/>
  <c r="BM32" i="15"/>
  <c r="BM31" i="15"/>
  <c r="BM30" i="15"/>
  <c r="BM29" i="15"/>
  <c r="BM28" i="15"/>
  <c r="BM27" i="15"/>
  <c r="BM26" i="15"/>
  <c r="BM25" i="15"/>
  <c r="BM24" i="15"/>
  <c r="BM23" i="15"/>
  <c r="BM22" i="15"/>
  <c r="BM21" i="15"/>
  <c r="BM20" i="15"/>
  <c r="BM19" i="15"/>
  <c r="BM18" i="15"/>
  <c r="BM17" i="15"/>
  <c r="BM16" i="15"/>
  <c r="BM15" i="15"/>
  <c r="BM14" i="15"/>
  <c r="BM13" i="15"/>
  <c r="BM12" i="15"/>
  <c r="BM11" i="15"/>
  <c r="BM10" i="15"/>
  <c r="BM69" i="15" s="1"/>
  <c r="BH67" i="15"/>
  <c r="BH66" i="15"/>
  <c r="BH65" i="15"/>
  <c r="BH64" i="15"/>
  <c r="BH63" i="15"/>
  <c r="BH62" i="15"/>
  <c r="BH61" i="15"/>
  <c r="BH60" i="15"/>
  <c r="BH59" i="15"/>
  <c r="BH58" i="15"/>
  <c r="BH57" i="15"/>
  <c r="BH56" i="15"/>
  <c r="BH55" i="15"/>
  <c r="BH54" i="15"/>
  <c r="BH53" i="15"/>
  <c r="BH52" i="15"/>
  <c r="BH51" i="15"/>
  <c r="BH50" i="15"/>
  <c r="BH49" i="15"/>
  <c r="BH48" i="15"/>
  <c r="BH47" i="15"/>
  <c r="BH46" i="15"/>
  <c r="BH45" i="15"/>
  <c r="BH44" i="15"/>
  <c r="BH43" i="15"/>
  <c r="BH42" i="15"/>
  <c r="BH41" i="15"/>
  <c r="BH40" i="15"/>
  <c r="BH39" i="15"/>
  <c r="BH38" i="15"/>
  <c r="BH37" i="15"/>
  <c r="BH36" i="15"/>
  <c r="BH35" i="15"/>
  <c r="BH34" i="15"/>
  <c r="BH33" i="15"/>
  <c r="BH32" i="15"/>
  <c r="BH31" i="15"/>
  <c r="BH30" i="15"/>
  <c r="BH29" i="15"/>
  <c r="BH28" i="15"/>
  <c r="BH27" i="15"/>
  <c r="BH26" i="15"/>
  <c r="BH25" i="15"/>
  <c r="BH24" i="15"/>
  <c r="BH23" i="15"/>
  <c r="BH22" i="15"/>
  <c r="BH21" i="15"/>
  <c r="BH20" i="15"/>
  <c r="BH19" i="15"/>
  <c r="BH18" i="15"/>
  <c r="BH17" i="15"/>
  <c r="BH16" i="15"/>
  <c r="BH15" i="15"/>
  <c r="BH14" i="15"/>
  <c r="BH13" i="15"/>
  <c r="BH12" i="15"/>
  <c r="BH11" i="15"/>
  <c r="BH10" i="15"/>
  <c r="BH69" i="15" s="1"/>
  <c r="BC10" i="15"/>
  <c r="AS67" i="15"/>
  <c r="AS66" i="15"/>
  <c r="AS65" i="15"/>
  <c r="AS64" i="15"/>
  <c r="AS63" i="15"/>
  <c r="AS62" i="15"/>
  <c r="AS61" i="15"/>
  <c r="AS60" i="15"/>
  <c r="AS59" i="15"/>
  <c r="AS58" i="15"/>
  <c r="AS57" i="15"/>
  <c r="AS56" i="15"/>
  <c r="AS55" i="15"/>
  <c r="AS54" i="15"/>
  <c r="AS53" i="15"/>
  <c r="AS52" i="15"/>
  <c r="AS51" i="15"/>
  <c r="AS50" i="15"/>
  <c r="AS49" i="15"/>
  <c r="AS48" i="15"/>
  <c r="AS47" i="15"/>
  <c r="AS46" i="15"/>
  <c r="AS45" i="15"/>
  <c r="AS44" i="15"/>
  <c r="AS43" i="15"/>
  <c r="AS42" i="15"/>
  <c r="AS41" i="15"/>
  <c r="AS40" i="15"/>
  <c r="AS39" i="15"/>
  <c r="AS38" i="15"/>
  <c r="AS37" i="15"/>
  <c r="AS36" i="15"/>
  <c r="AS35" i="15"/>
  <c r="AS34" i="15"/>
  <c r="AS33" i="15"/>
  <c r="AS32" i="15"/>
  <c r="AS31" i="15"/>
  <c r="AS30" i="15"/>
  <c r="AS29" i="15"/>
  <c r="AS28" i="15"/>
  <c r="AS27" i="15"/>
  <c r="AS26" i="15"/>
  <c r="AS25" i="15"/>
  <c r="AS24" i="15"/>
  <c r="AS23" i="15"/>
  <c r="AS22" i="15"/>
  <c r="AS21" i="15"/>
  <c r="AS20" i="15"/>
  <c r="AS19" i="15"/>
  <c r="AS18" i="15"/>
  <c r="AS17" i="15"/>
  <c r="AS16" i="15"/>
  <c r="AS15" i="15"/>
  <c r="AS14" i="15"/>
  <c r="AS13" i="15"/>
  <c r="AS12" i="15"/>
  <c r="AS11" i="15"/>
  <c r="AS10" i="15"/>
  <c r="AX67" i="15"/>
  <c r="AX66" i="15"/>
  <c r="AX65" i="15"/>
  <c r="AX64" i="15"/>
  <c r="AX63" i="15"/>
  <c r="AX62" i="15"/>
  <c r="AX61" i="15"/>
  <c r="AX60" i="15"/>
  <c r="AX59" i="15"/>
  <c r="AX58" i="15"/>
  <c r="AX57" i="15"/>
  <c r="AX56" i="15"/>
  <c r="AX55" i="15"/>
  <c r="AX54" i="15"/>
  <c r="AX53" i="15"/>
  <c r="AX52" i="15"/>
  <c r="AX51" i="15"/>
  <c r="AX50" i="15"/>
  <c r="AX49" i="15"/>
  <c r="AX48" i="15"/>
  <c r="AX47" i="15"/>
  <c r="AX46" i="15"/>
  <c r="AX45" i="15"/>
  <c r="AX44" i="15"/>
  <c r="AX43" i="15"/>
  <c r="AX42" i="15"/>
  <c r="AX41" i="15"/>
  <c r="AX40" i="15"/>
  <c r="AX39" i="15"/>
  <c r="AX38" i="15"/>
  <c r="AX37" i="15"/>
  <c r="AX36" i="15"/>
  <c r="AX35" i="15"/>
  <c r="AX34" i="15"/>
  <c r="AX33" i="15"/>
  <c r="AX32" i="15"/>
  <c r="AX31" i="15"/>
  <c r="AX30" i="15"/>
  <c r="AX29" i="15"/>
  <c r="AX28" i="15"/>
  <c r="AX27" i="15"/>
  <c r="AX26" i="15"/>
  <c r="AX25" i="15"/>
  <c r="AX24" i="15"/>
  <c r="AX23" i="15"/>
  <c r="AX22" i="15"/>
  <c r="AX21" i="15"/>
  <c r="AX20" i="15"/>
  <c r="AX19" i="15"/>
  <c r="AX18" i="15"/>
  <c r="AX17" i="15"/>
  <c r="AX16" i="15"/>
  <c r="AX15" i="15"/>
  <c r="AX14" i="15"/>
  <c r="AX13" i="15"/>
  <c r="AX12" i="15"/>
  <c r="M71" i="15"/>
  <c r="L71" i="15"/>
  <c r="J71" i="15"/>
  <c r="BX26" i="13"/>
  <c r="BX25" i="13"/>
  <c r="BX24" i="13"/>
  <c r="BX23" i="13"/>
  <c r="BX22" i="13"/>
  <c r="BX21" i="13"/>
  <c r="BX20" i="13"/>
  <c r="BX19" i="13"/>
  <c r="BX18" i="13"/>
  <c r="BX17" i="13"/>
  <c r="BX16" i="13"/>
  <c r="BX15" i="13"/>
  <c r="BX14" i="13"/>
  <c r="BX13" i="13"/>
  <c r="BX12" i="13"/>
  <c r="BX11" i="13"/>
  <c r="BX10" i="13"/>
  <c r="BX9" i="13"/>
  <c r="BX28" i="13" s="1"/>
  <c r="BS26" i="13"/>
  <c r="BS25" i="13"/>
  <c r="BS24" i="13"/>
  <c r="BS23" i="13"/>
  <c r="BS22" i="13"/>
  <c r="BS21" i="13"/>
  <c r="T22" i="15" s="1"/>
  <c r="BS20" i="13"/>
  <c r="BS19" i="13"/>
  <c r="BS18" i="13"/>
  <c r="BS17" i="13"/>
  <c r="BS16" i="13"/>
  <c r="BS15" i="13"/>
  <c r="BS14" i="13"/>
  <c r="BS13" i="13"/>
  <c r="T14" i="15" s="1"/>
  <c r="BS12" i="13"/>
  <c r="BS11" i="13"/>
  <c r="BS10" i="13"/>
  <c r="BS9" i="13"/>
  <c r="BS28" i="13" s="1"/>
  <c r="BN26" i="13"/>
  <c r="BN25" i="13"/>
  <c r="BN24" i="13"/>
  <c r="BN23" i="13"/>
  <c r="BN22" i="13"/>
  <c r="BN21" i="13"/>
  <c r="BN20" i="13"/>
  <c r="BN19" i="13"/>
  <c r="BN18" i="13"/>
  <c r="BN17" i="13"/>
  <c r="BN16" i="13"/>
  <c r="BN15" i="13"/>
  <c r="BN14" i="13"/>
  <c r="BN13" i="13"/>
  <c r="BN12" i="13"/>
  <c r="BN11" i="13"/>
  <c r="BN10" i="13"/>
  <c r="BN9" i="13"/>
  <c r="BN28" i="13" s="1"/>
  <c r="BI26" i="13"/>
  <c r="BI25" i="13"/>
  <c r="BI24" i="13"/>
  <c r="BI23" i="13"/>
  <c r="BI22" i="13"/>
  <c r="BI21" i="13"/>
  <c r="BI20" i="13"/>
  <c r="BI19" i="13"/>
  <c r="BI18" i="13"/>
  <c r="BI17" i="13"/>
  <c r="BI16" i="13"/>
  <c r="BI15" i="13"/>
  <c r="BI14" i="13"/>
  <c r="BI13" i="13"/>
  <c r="BI12" i="13"/>
  <c r="BI11" i="13"/>
  <c r="BI28" i="13" s="1"/>
  <c r="BI10" i="13"/>
  <c r="BI9" i="13"/>
  <c r="BD26" i="13"/>
  <c r="BD25" i="13"/>
  <c r="BD24" i="13"/>
  <c r="BD23" i="13"/>
  <c r="BD22" i="13"/>
  <c r="BD21" i="13"/>
  <c r="BD20" i="13"/>
  <c r="BD19" i="13"/>
  <c r="BD18" i="13"/>
  <c r="BD17" i="13"/>
  <c r="BD16" i="13"/>
  <c r="BD15" i="13"/>
  <c r="BD14" i="13"/>
  <c r="BD13" i="13"/>
  <c r="BD12" i="13"/>
  <c r="BD11" i="13"/>
  <c r="BD10" i="13"/>
  <c r="BD9" i="13"/>
  <c r="BD28" i="13" s="1"/>
  <c r="AY26" i="13"/>
  <c r="AY25" i="13"/>
  <c r="AY24" i="13"/>
  <c r="AY23" i="13"/>
  <c r="AY22" i="13"/>
  <c r="AY21" i="13"/>
  <c r="AY20" i="13"/>
  <c r="AY19" i="13"/>
  <c r="AY18" i="13"/>
  <c r="AY17" i="13"/>
  <c r="AY16" i="13"/>
  <c r="AY15" i="13"/>
  <c r="AY14" i="13"/>
  <c r="AY13" i="13"/>
  <c r="AY12" i="13"/>
  <c r="AY11" i="13"/>
  <c r="AY10" i="13"/>
  <c r="AY9" i="13"/>
  <c r="AY28" i="13" s="1"/>
  <c r="AT26" i="13"/>
  <c r="AT25" i="13"/>
  <c r="AT24" i="13"/>
  <c r="AT23" i="13"/>
  <c r="AT22" i="13"/>
  <c r="AT21" i="13"/>
  <c r="AT20" i="13"/>
  <c r="AT19" i="13"/>
  <c r="AT18" i="13"/>
  <c r="AT17" i="13"/>
  <c r="AT16" i="13"/>
  <c r="AT15" i="13"/>
  <c r="AT14" i="13"/>
  <c r="AT13" i="13"/>
  <c r="AT12" i="13"/>
  <c r="AT11" i="13"/>
  <c r="AT10" i="13"/>
  <c r="AT9" i="13"/>
  <c r="AT28" i="13" s="1"/>
  <c r="AO26" i="13"/>
  <c r="AO25" i="13"/>
  <c r="AO24" i="13"/>
  <c r="AO23" i="13"/>
  <c r="AO22" i="13"/>
  <c r="AO21" i="13"/>
  <c r="AO20" i="13"/>
  <c r="AO19" i="13"/>
  <c r="AO18" i="13"/>
  <c r="AO17" i="13"/>
  <c r="AO16" i="13"/>
  <c r="AO15" i="13"/>
  <c r="AO14" i="13"/>
  <c r="AO13" i="13"/>
  <c r="AO12" i="13"/>
  <c r="AO11" i="13"/>
  <c r="AO10" i="13"/>
  <c r="AO28" i="13" s="1"/>
  <c r="AO9" i="13"/>
  <c r="AJ26" i="13"/>
  <c r="AJ25" i="13"/>
  <c r="AJ24" i="13"/>
  <c r="AJ23" i="13"/>
  <c r="AJ22" i="13"/>
  <c r="AJ21" i="13"/>
  <c r="AJ20" i="13"/>
  <c r="AJ19" i="13"/>
  <c r="AJ18" i="13"/>
  <c r="AJ17" i="13"/>
  <c r="AJ16" i="13"/>
  <c r="AJ15" i="13"/>
  <c r="AJ14" i="13"/>
  <c r="AJ13" i="13"/>
  <c r="AJ12" i="13"/>
  <c r="AJ11" i="13"/>
  <c r="AJ10" i="13"/>
  <c r="AJ9" i="13"/>
  <c r="AJ28" i="13" s="1"/>
  <c r="AE26" i="13"/>
  <c r="AE25" i="13"/>
  <c r="AE24" i="13"/>
  <c r="AE23" i="13"/>
  <c r="AE22" i="13"/>
  <c r="AE21" i="13"/>
  <c r="AE20" i="13"/>
  <c r="AE19" i="13"/>
  <c r="AE18" i="13"/>
  <c r="AE17" i="13"/>
  <c r="AE16" i="13"/>
  <c r="AE15" i="13"/>
  <c r="AE14" i="13"/>
  <c r="AE13" i="13"/>
  <c r="AE12" i="13"/>
  <c r="AE11" i="13"/>
  <c r="AE28" i="13" s="1"/>
  <c r="AE10" i="13"/>
  <c r="AE9" i="13"/>
  <c r="Z26" i="13"/>
  <c r="Z25" i="13"/>
  <c r="Z24" i="13"/>
  <c r="Z23" i="13"/>
  <c r="Z22" i="13"/>
  <c r="Z21" i="13"/>
  <c r="Z20" i="13"/>
  <c r="Z19" i="13"/>
  <c r="Z18" i="13"/>
  <c r="Z17" i="13"/>
  <c r="Z16" i="13"/>
  <c r="Z15" i="13"/>
  <c r="Z14" i="13"/>
  <c r="Z13" i="13"/>
  <c r="Z12" i="13"/>
  <c r="Z11" i="13"/>
  <c r="Z10" i="13"/>
  <c r="Z9" i="13"/>
  <c r="Z28" i="13" s="1"/>
  <c r="U26" i="13"/>
  <c r="U25" i="13"/>
  <c r="U24" i="13"/>
  <c r="U23" i="13"/>
  <c r="U22" i="13"/>
  <c r="U21" i="13"/>
  <c r="U20" i="13"/>
  <c r="U19" i="13"/>
  <c r="U18" i="13"/>
  <c r="U17" i="13"/>
  <c r="U16" i="13"/>
  <c r="U15" i="13"/>
  <c r="U14" i="13"/>
  <c r="U13" i="13"/>
  <c r="U12" i="13"/>
  <c r="U11" i="13"/>
  <c r="U28" i="13" s="1"/>
  <c r="U10" i="13"/>
  <c r="U9" i="13"/>
  <c r="P28" i="13"/>
  <c r="P26" i="13"/>
  <c r="P25" i="13"/>
  <c r="P24" i="13"/>
  <c r="P23" i="13"/>
  <c r="P22" i="13"/>
  <c r="P21" i="13"/>
  <c r="P20" i="13"/>
  <c r="P19" i="13"/>
  <c r="P18" i="13"/>
  <c r="P17" i="13"/>
  <c r="P16" i="13"/>
  <c r="P15" i="13"/>
  <c r="P14" i="13"/>
  <c r="P13" i="13"/>
  <c r="P12" i="13"/>
  <c r="P11" i="13"/>
  <c r="P10" i="13"/>
  <c r="P9" i="13"/>
  <c r="F28" i="13"/>
  <c r="F9" i="13"/>
  <c r="BN46" i="20"/>
  <c r="BN45" i="20"/>
  <c r="BN44" i="20"/>
  <c r="BN43" i="20"/>
  <c r="BN42" i="20"/>
  <c r="BN41" i="20"/>
  <c r="BN40" i="20"/>
  <c r="BN39" i="20"/>
  <c r="BN38" i="20"/>
  <c r="BN37" i="20"/>
  <c r="BN36" i="20"/>
  <c r="BN35" i="20"/>
  <c r="BN34" i="20"/>
  <c r="BN33" i="20"/>
  <c r="BN32" i="20"/>
  <c r="BN31" i="20"/>
  <c r="BN30" i="20"/>
  <c r="BN29" i="20"/>
  <c r="BN28" i="20"/>
  <c r="BN27" i="20"/>
  <c r="BN26" i="20"/>
  <c r="BN25" i="20"/>
  <c r="BN24" i="20"/>
  <c r="BN23" i="20"/>
  <c r="BN22" i="20"/>
  <c r="BN21" i="20"/>
  <c r="BN20" i="20"/>
  <c r="BN19" i="20"/>
  <c r="BN18" i="20"/>
  <c r="BN17" i="20"/>
  <c r="BN16" i="20"/>
  <c r="BN15" i="20"/>
  <c r="BN14" i="20"/>
  <c r="BN13" i="20"/>
  <c r="BN12" i="20"/>
  <c r="BN11" i="20"/>
  <c r="BN10" i="20"/>
  <c r="BN9" i="20"/>
  <c r="BN48" i="20" s="1"/>
  <c r="BI46" i="20"/>
  <c r="BI45" i="20"/>
  <c r="BI44" i="20"/>
  <c r="BI43" i="20"/>
  <c r="BI42" i="20"/>
  <c r="BI41" i="20"/>
  <c r="BI40" i="20"/>
  <c r="BI39" i="20"/>
  <c r="BI38" i="20"/>
  <c r="BI37" i="20"/>
  <c r="BI36" i="20"/>
  <c r="BI35" i="20"/>
  <c r="BI34" i="20"/>
  <c r="BI33" i="20"/>
  <c r="BI32" i="20"/>
  <c r="BI31" i="20"/>
  <c r="BI30" i="20"/>
  <c r="BI29" i="20"/>
  <c r="BI28" i="20"/>
  <c r="BI27" i="20"/>
  <c r="BI26" i="20"/>
  <c r="BI25" i="20"/>
  <c r="BI24" i="20"/>
  <c r="BI23" i="20"/>
  <c r="BI22" i="20"/>
  <c r="BI21" i="20"/>
  <c r="BI20" i="20"/>
  <c r="BI19" i="20"/>
  <c r="BI18" i="20"/>
  <c r="BI17" i="20"/>
  <c r="BI16" i="20"/>
  <c r="BI15" i="20"/>
  <c r="BI14" i="20"/>
  <c r="BI13" i="20"/>
  <c r="BI12" i="20"/>
  <c r="BI11" i="20"/>
  <c r="BI10" i="20"/>
  <c r="BI48" i="20" s="1"/>
  <c r="BI9" i="20"/>
  <c r="BD46" i="20"/>
  <c r="BD45" i="20"/>
  <c r="BD44" i="20"/>
  <c r="BD43" i="20"/>
  <c r="BD42" i="20"/>
  <c r="BD41" i="20"/>
  <c r="BD40" i="20"/>
  <c r="BD39" i="20"/>
  <c r="BD38" i="20"/>
  <c r="BD37" i="20"/>
  <c r="BD36" i="20"/>
  <c r="BD35" i="20"/>
  <c r="BD34" i="20"/>
  <c r="BD33" i="20"/>
  <c r="BD32" i="20"/>
  <c r="BD31" i="20"/>
  <c r="BD30" i="20"/>
  <c r="BD29" i="20"/>
  <c r="BD28" i="20"/>
  <c r="BD27" i="20"/>
  <c r="BD26" i="20"/>
  <c r="BD25" i="20"/>
  <c r="BD24" i="20"/>
  <c r="BD23" i="20"/>
  <c r="BD22" i="20"/>
  <c r="BD21" i="20"/>
  <c r="BD20" i="20"/>
  <c r="BD19" i="20"/>
  <c r="BD18" i="20"/>
  <c r="BD17" i="20"/>
  <c r="BD16" i="20"/>
  <c r="BD15" i="20"/>
  <c r="BD14" i="20"/>
  <c r="BD13" i="20"/>
  <c r="BD12" i="20"/>
  <c r="BD11" i="20"/>
  <c r="BD10" i="20"/>
  <c r="BD9" i="20"/>
  <c r="BD48" i="20" s="1"/>
  <c r="AY46" i="20"/>
  <c r="AY45" i="20"/>
  <c r="AY44" i="20"/>
  <c r="AY43" i="20"/>
  <c r="AY42" i="20"/>
  <c r="AY41" i="20"/>
  <c r="AY40" i="20"/>
  <c r="AY39" i="20"/>
  <c r="AY38" i="20"/>
  <c r="AY37" i="20"/>
  <c r="AY36" i="20"/>
  <c r="AY35" i="20"/>
  <c r="AY34" i="20"/>
  <c r="AY33" i="20"/>
  <c r="AY32" i="20"/>
  <c r="AY31" i="20"/>
  <c r="AY30" i="20"/>
  <c r="AY29" i="20"/>
  <c r="AY28" i="20"/>
  <c r="AY27" i="20"/>
  <c r="AY26" i="20"/>
  <c r="AY25" i="20"/>
  <c r="AY24" i="20"/>
  <c r="AY23" i="20"/>
  <c r="AY22" i="20"/>
  <c r="AY21" i="20"/>
  <c r="AY20" i="20"/>
  <c r="AY19" i="20"/>
  <c r="AY18" i="20"/>
  <c r="AY17" i="20"/>
  <c r="AY16" i="20"/>
  <c r="AY15" i="20"/>
  <c r="AY14" i="20"/>
  <c r="AY13" i="20"/>
  <c r="AY48" i="20" s="1"/>
  <c r="AY12" i="20"/>
  <c r="AY11" i="20"/>
  <c r="AY10" i="20"/>
  <c r="AY9" i="20"/>
  <c r="AT46" i="20"/>
  <c r="AT45" i="20"/>
  <c r="AT44" i="20"/>
  <c r="AT43" i="20"/>
  <c r="AT42" i="20"/>
  <c r="AT41" i="20"/>
  <c r="AT40" i="20"/>
  <c r="AT39" i="20"/>
  <c r="AT38" i="20"/>
  <c r="AT37" i="20"/>
  <c r="AT36" i="20"/>
  <c r="AT35" i="20"/>
  <c r="AT34" i="20"/>
  <c r="AT33" i="20"/>
  <c r="AT32" i="20"/>
  <c r="AT31" i="20"/>
  <c r="AT30" i="20"/>
  <c r="AT29" i="20"/>
  <c r="AT28" i="20"/>
  <c r="AT27" i="20"/>
  <c r="AT26" i="20"/>
  <c r="AT25" i="20"/>
  <c r="AT24" i="20"/>
  <c r="AT23" i="20"/>
  <c r="AT22" i="20"/>
  <c r="AT21" i="20"/>
  <c r="AT20" i="20"/>
  <c r="AT19" i="20"/>
  <c r="AT18" i="20"/>
  <c r="AT17" i="20"/>
  <c r="AT16" i="20"/>
  <c r="AT15" i="20"/>
  <c r="AT14" i="20"/>
  <c r="AT13" i="20"/>
  <c r="AT48" i="20" s="1"/>
  <c r="AT12" i="20"/>
  <c r="AT11" i="20"/>
  <c r="AT10" i="20"/>
  <c r="AT9" i="20"/>
  <c r="AO46" i="20"/>
  <c r="AO45" i="20"/>
  <c r="AO44" i="20"/>
  <c r="AO43" i="20"/>
  <c r="AO42" i="20"/>
  <c r="AO41" i="20"/>
  <c r="AO40" i="20"/>
  <c r="AO39" i="20"/>
  <c r="AO38" i="20"/>
  <c r="AO37" i="20"/>
  <c r="AO36" i="20"/>
  <c r="AO35" i="20"/>
  <c r="AO34" i="20"/>
  <c r="AO33" i="20"/>
  <c r="AO32" i="20"/>
  <c r="AO31" i="20"/>
  <c r="AO30" i="20"/>
  <c r="AO29" i="20"/>
  <c r="AO28" i="20"/>
  <c r="AO27" i="20"/>
  <c r="AO26" i="20"/>
  <c r="AO25" i="20"/>
  <c r="AO24" i="20"/>
  <c r="AO23" i="20"/>
  <c r="AO22" i="20"/>
  <c r="AO21" i="20"/>
  <c r="AO20" i="20"/>
  <c r="AO19" i="20"/>
  <c r="AO18" i="20"/>
  <c r="AO17" i="20"/>
  <c r="AO16" i="20"/>
  <c r="AO15" i="20"/>
  <c r="AO14" i="20"/>
  <c r="AO13" i="20"/>
  <c r="AO12" i="20"/>
  <c r="AO11" i="20"/>
  <c r="AO10" i="20"/>
  <c r="AO9" i="20"/>
  <c r="AO48" i="20" s="1"/>
  <c r="AJ46" i="20"/>
  <c r="AJ45" i="20"/>
  <c r="AJ44" i="20"/>
  <c r="AJ43" i="20"/>
  <c r="AJ42" i="20"/>
  <c r="AJ41" i="20"/>
  <c r="AJ40" i="20"/>
  <c r="AJ39" i="20"/>
  <c r="AJ38" i="20"/>
  <c r="AJ37" i="20"/>
  <c r="AJ36" i="20"/>
  <c r="AJ35" i="20"/>
  <c r="AJ34" i="20"/>
  <c r="AJ33" i="20"/>
  <c r="AJ32" i="20"/>
  <c r="AJ31" i="20"/>
  <c r="AJ30" i="20"/>
  <c r="AJ29" i="20"/>
  <c r="AJ28" i="20"/>
  <c r="AJ27" i="20"/>
  <c r="AJ26" i="20"/>
  <c r="AJ25" i="20"/>
  <c r="AJ24" i="20"/>
  <c r="AJ23" i="20"/>
  <c r="AJ22" i="20"/>
  <c r="AJ21" i="20"/>
  <c r="AJ20" i="20"/>
  <c r="AJ19" i="20"/>
  <c r="AJ18" i="20"/>
  <c r="AJ17" i="20"/>
  <c r="AJ16" i="20"/>
  <c r="AJ15" i="20"/>
  <c r="AJ14" i="20"/>
  <c r="AJ13" i="20"/>
  <c r="AJ12" i="20"/>
  <c r="AJ11" i="20"/>
  <c r="AJ10" i="20"/>
  <c r="AJ9" i="20"/>
  <c r="AJ48" i="20" s="1"/>
  <c r="AE46" i="20"/>
  <c r="AE45" i="20"/>
  <c r="AE44" i="20"/>
  <c r="AE43" i="20"/>
  <c r="AE42" i="20"/>
  <c r="AE41" i="20"/>
  <c r="AE40" i="20"/>
  <c r="AE39" i="20"/>
  <c r="AE38" i="20"/>
  <c r="AE37" i="20"/>
  <c r="AE36" i="20"/>
  <c r="AE35" i="20"/>
  <c r="AE34" i="20"/>
  <c r="AE33" i="20"/>
  <c r="AE32" i="20"/>
  <c r="AE31" i="20"/>
  <c r="AE30" i="20"/>
  <c r="AE29" i="20"/>
  <c r="AE28" i="20"/>
  <c r="AE27" i="20"/>
  <c r="AE26" i="20"/>
  <c r="AE25" i="20"/>
  <c r="AE24" i="20"/>
  <c r="AE23" i="20"/>
  <c r="AE22" i="20"/>
  <c r="AE21" i="20"/>
  <c r="AE20" i="20"/>
  <c r="AE19" i="20"/>
  <c r="AE18" i="20"/>
  <c r="AE17" i="20"/>
  <c r="AE16" i="20"/>
  <c r="AE15" i="20"/>
  <c r="AE14" i="20"/>
  <c r="AE13" i="20"/>
  <c r="AE12" i="20"/>
  <c r="AE11" i="20"/>
  <c r="AE10" i="20"/>
  <c r="Z46" i="20"/>
  <c r="Z45" i="20"/>
  <c r="Z44" i="20"/>
  <c r="Z43" i="20"/>
  <c r="Z42" i="20"/>
  <c r="Z41" i="20"/>
  <c r="Z40" i="20"/>
  <c r="Z39" i="20"/>
  <c r="Z38" i="20"/>
  <c r="Z37" i="20"/>
  <c r="Z36" i="20"/>
  <c r="Z35" i="20"/>
  <c r="Z34" i="20"/>
  <c r="Z33" i="20"/>
  <c r="Z32" i="20"/>
  <c r="Z31" i="20"/>
  <c r="Z30" i="20"/>
  <c r="Z29" i="20"/>
  <c r="Z28" i="20"/>
  <c r="Z27" i="20"/>
  <c r="Z26" i="20"/>
  <c r="Z25" i="20"/>
  <c r="Z24" i="20"/>
  <c r="Z23" i="20"/>
  <c r="Z22" i="20"/>
  <c r="Z21" i="20"/>
  <c r="Z20" i="20"/>
  <c r="Z19" i="20"/>
  <c r="Z18" i="20"/>
  <c r="Z17" i="20"/>
  <c r="Z16" i="20"/>
  <c r="Z15" i="20"/>
  <c r="Z14" i="20"/>
  <c r="Z13" i="20"/>
  <c r="Z12" i="20"/>
  <c r="Z11" i="20"/>
  <c r="Z10" i="20"/>
  <c r="U46" i="20"/>
  <c r="U45" i="20"/>
  <c r="U44" i="20"/>
  <c r="U43" i="20"/>
  <c r="U42" i="20"/>
  <c r="U41" i="20"/>
  <c r="U40" i="20"/>
  <c r="U39" i="20"/>
  <c r="U38" i="20"/>
  <c r="U37" i="20"/>
  <c r="U36" i="20"/>
  <c r="U35" i="20"/>
  <c r="U34" i="20"/>
  <c r="U33" i="20"/>
  <c r="U32" i="20"/>
  <c r="U31" i="20"/>
  <c r="U30" i="20"/>
  <c r="U29" i="20"/>
  <c r="U28" i="20"/>
  <c r="U27" i="20"/>
  <c r="U26" i="20"/>
  <c r="U25" i="20"/>
  <c r="U24" i="20"/>
  <c r="U23" i="20"/>
  <c r="U22" i="20"/>
  <c r="U21" i="20"/>
  <c r="U20" i="20"/>
  <c r="U19" i="20"/>
  <c r="U18" i="20"/>
  <c r="U17" i="20"/>
  <c r="U16" i="20"/>
  <c r="U15" i="20"/>
  <c r="U14" i="20"/>
  <c r="U13" i="20"/>
  <c r="U12" i="20"/>
  <c r="U11" i="20"/>
  <c r="U10" i="20"/>
  <c r="P46" i="20"/>
  <c r="P45" i="20"/>
  <c r="P44" i="20"/>
  <c r="P43" i="20"/>
  <c r="P42" i="20"/>
  <c r="P41" i="20"/>
  <c r="P40" i="20"/>
  <c r="P39" i="20"/>
  <c r="P38" i="20"/>
  <c r="P37" i="20"/>
  <c r="P36" i="20"/>
  <c r="P35" i="20"/>
  <c r="P34" i="20"/>
  <c r="P33" i="20"/>
  <c r="P32" i="20"/>
  <c r="P31" i="20"/>
  <c r="P30" i="20"/>
  <c r="P29" i="20"/>
  <c r="P28" i="20"/>
  <c r="P27" i="20"/>
  <c r="P26" i="20"/>
  <c r="P25" i="20"/>
  <c r="P24" i="20"/>
  <c r="P23" i="20"/>
  <c r="P22" i="20"/>
  <c r="P21" i="20"/>
  <c r="P20" i="20"/>
  <c r="P19" i="20"/>
  <c r="P18" i="20"/>
  <c r="P17" i="20"/>
  <c r="P16" i="20"/>
  <c r="P15" i="20"/>
  <c r="P14" i="20"/>
  <c r="P13" i="20"/>
  <c r="P12" i="20"/>
  <c r="P11" i="20"/>
  <c r="P10" i="20"/>
  <c r="P9" i="20"/>
  <c r="P48" i="20" s="1"/>
  <c r="F9" i="20"/>
  <c r="U9" i="20" s="1"/>
  <c r="AJ46" i="14"/>
  <c r="AJ45" i="14"/>
  <c r="AJ44" i="14"/>
  <c r="AJ43" i="14"/>
  <c r="AJ42" i="14"/>
  <c r="AJ41" i="14"/>
  <c r="AJ40" i="14"/>
  <c r="AJ39" i="14"/>
  <c r="AJ38" i="14"/>
  <c r="AJ37" i="14"/>
  <c r="AJ36" i="14"/>
  <c r="AJ35" i="14"/>
  <c r="AJ34" i="14"/>
  <c r="AJ33" i="14"/>
  <c r="AJ32" i="14"/>
  <c r="AJ31" i="14"/>
  <c r="AJ30" i="14"/>
  <c r="AJ29" i="14"/>
  <c r="AJ28" i="14"/>
  <c r="AJ27" i="14"/>
  <c r="AJ26" i="14"/>
  <c r="AJ25" i="14"/>
  <c r="AJ24" i="14"/>
  <c r="AJ23" i="14"/>
  <c r="AJ22" i="14"/>
  <c r="AJ21" i="14"/>
  <c r="AJ20" i="14"/>
  <c r="AJ19" i="14"/>
  <c r="AJ18" i="14"/>
  <c r="AJ17" i="14"/>
  <c r="AJ16" i="14"/>
  <c r="AJ15" i="14"/>
  <c r="AJ14" i="14"/>
  <c r="AJ13" i="14"/>
  <c r="AJ12" i="14"/>
  <c r="AJ11" i="14"/>
  <c r="AJ10" i="14"/>
  <c r="AJ48" i="14" s="1"/>
  <c r="AJ9" i="14"/>
  <c r="AE46" i="14"/>
  <c r="AE45" i="14"/>
  <c r="AE44" i="14"/>
  <c r="AE43" i="14"/>
  <c r="AE42" i="14"/>
  <c r="AE41" i="14"/>
  <c r="AE40" i="14"/>
  <c r="AE39" i="14"/>
  <c r="AE38" i="14"/>
  <c r="AE37" i="14"/>
  <c r="AE36" i="14"/>
  <c r="AE35" i="14"/>
  <c r="AE34" i="14"/>
  <c r="AE33" i="14"/>
  <c r="AE32" i="14"/>
  <c r="AE31" i="14"/>
  <c r="AE30" i="14"/>
  <c r="AE29" i="14"/>
  <c r="AE28" i="14"/>
  <c r="AE27" i="14"/>
  <c r="AE26" i="14"/>
  <c r="AE25" i="14"/>
  <c r="AE24" i="14"/>
  <c r="AE23" i="14"/>
  <c r="AE22" i="14"/>
  <c r="AE21" i="14"/>
  <c r="AE20" i="14"/>
  <c r="AE19" i="14"/>
  <c r="AE18" i="14"/>
  <c r="AE17" i="14"/>
  <c r="AE16" i="14"/>
  <c r="AE15" i="14"/>
  <c r="AE14" i="14"/>
  <c r="AE13" i="14"/>
  <c r="AE12" i="14"/>
  <c r="AE11" i="14"/>
  <c r="AE10" i="14"/>
  <c r="AE9" i="14"/>
  <c r="AE48" i="14" s="1"/>
  <c r="Z46" i="14"/>
  <c r="Z45" i="14"/>
  <c r="Z44" i="14"/>
  <c r="Z43" i="14"/>
  <c r="Z42" i="14"/>
  <c r="Z41" i="14"/>
  <c r="Z40" i="14"/>
  <c r="Z39" i="14"/>
  <c r="Z38" i="14"/>
  <c r="Z37" i="14"/>
  <c r="Z36" i="14"/>
  <c r="Z35" i="14"/>
  <c r="Z34" i="14"/>
  <c r="Z33" i="14"/>
  <c r="Z32" i="14"/>
  <c r="Z31" i="14"/>
  <c r="Z30" i="14"/>
  <c r="Z29" i="14"/>
  <c r="Z28" i="14"/>
  <c r="Z27" i="14"/>
  <c r="Z26" i="14"/>
  <c r="Z25" i="14"/>
  <c r="Z24" i="14"/>
  <c r="Z23" i="14"/>
  <c r="Z22" i="14"/>
  <c r="Z21" i="14"/>
  <c r="Z20" i="14"/>
  <c r="Z19" i="14"/>
  <c r="Z18" i="14"/>
  <c r="Z17" i="14"/>
  <c r="Z16" i="14"/>
  <c r="Z15" i="14"/>
  <c r="Z14" i="14"/>
  <c r="Z13" i="14"/>
  <c r="Z12" i="14"/>
  <c r="Z11" i="14"/>
  <c r="Z10" i="14"/>
  <c r="Z48" i="14" s="1"/>
  <c r="Z9" i="14"/>
  <c r="U46" i="14"/>
  <c r="U45" i="14"/>
  <c r="U44" i="14"/>
  <c r="U43" i="14"/>
  <c r="U42" i="14"/>
  <c r="U41" i="14"/>
  <c r="U40" i="14"/>
  <c r="U39" i="14"/>
  <c r="U38" i="14"/>
  <c r="U37" i="14"/>
  <c r="U36" i="14"/>
  <c r="U35" i="14"/>
  <c r="U34" i="14"/>
  <c r="U33" i="14"/>
  <c r="U32" i="14"/>
  <c r="U31" i="14"/>
  <c r="U30" i="14"/>
  <c r="U29" i="14"/>
  <c r="U28" i="14"/>
  <c r="U27" i="14"/>
  <c r="U26" i="14"/>
  <c r="U25" i="14"/>
  <c r="U24" i="14"/>
  <c r="U23" i="14"/>
  <c r="U22" i="14"/>
  <c r="U21" i="14"/>
  <c r="U20" i="14"/>
  <c r="U19" i="14"/>
  <c r="U18" i="14"/>
  <c r="U17" i="14"/>
  <c r="U16" i="14"/>
  <c r="U15" i="14"/>
  <c r="U14" i="14"/>
  <c r="U13" i="14"/>
  <c r="U12" i="14"/>
  <c r="U11" i="14"/>
  <c r="U10" i="14"/>
  <c r="U9" i="14"/>
  <c r="U48" i="14" s="1"/>
  <c r="P48" i="14"/>
  <c r="P46" i="14"/>
  <c r="P45" i="14"/>
  <c r="P44" i="14"/>
  <c r="P43" i="14"/>
  <c r="P42" i="14"/>
  <c r="P41" i="14"/>
  <c r="P40" i="14"/>
  <c r="P39" i="14"/>
  <c r="P38" i="14"/>
  <c r="P37" i="14"/>
  <c r="P36" i="14"/>
  <c r="P35" i="14"/>
  <c r="P34" i="14"/>
  <c r="P33" i="14"/>
  <c r="P32" i="14"/>
  <c r="P31" i="14"/>
  <c r="P30" i="14"/>
  <c r="P29" i="14"/>
  <c r="P28" i="14"/>
  <c r="P27" i="14"/>
  <c r="P26" i="14"/>
  <c r="P25" i="14"/>
  <c r="P24" i="14"/>
  <c r="P23" i="14"/>
  <c r="P22" i="14"/>
  <c r="P21" i="14"/>
  <c r="P20" i="14"/>
  <c r="P19" i="14"/>
  <c r="P18" i="14"/>
  <c r="P17" i="14"/>
  <c r="P16" i="14"/>
  <c r="P15" i="14"/>
  <c r="P14" i="14"/>
  <c r="P13" i="14"/>
  <c r="P12" i="14"/>
  <c r="F48" i="14"/>
  <c r="F9" i="14"/>
  <c r="P9" i="14" s="1"/>
  <c r="P11" i="14"/>
  <c r="P10" i="14"/>
  <c r="CB10" i="15"/>
  <c r="CB69" i="15" s="1"/>
  <c r="BC69" i="15"/>
  <c r="AS69" i="15"/>
  <c r="AX11" i="15"/>
  <c r="AX10" i="15"/>
  <c r="AD69" i="15"/>
  <c r="AD67" i="15"/>
  <c r="AD66" i="15"/>
  <c r="AD65" i="15"/>
  <c r="AD64" i="15"/>
  <c r="AD63" i="15"/>
  <c r="AD62" i="15"/>
  <c r="AD61" i="15"/>
  <c r="AD60" i="15"/>
  <c r="AD59" i="15"/>
  <c r="AD58" i="15"/>
  <c r="AD57" i="15"/>
  <c r="AD56" i="15"/>
  <c r="AD55" i="15"/>
  <c r="AD54" i="15"/>
  <c r="AD53" i="15"/>
  <c r="AD52" i="15"/>
  <c r="AD51" i="15"/>
  <c r="AD50" i="15"/>
  <c r="AD49" i="15"/>
  <c r="AD48" i="15"/>
  <c r="AD47" i="15"/>
  <c r="AD46" i="15"/>
  <c r="AD45" i="15"/>
  <c r="AD44" i="15"/>
  <c r="AD43" i="15"/>
  <c r="AD42" i="15"/>
  <c r="AD41" i="15"/>
  <c r="AD40" i="15"/>
  <c r="AD39" i="15"/>
  <c r="AD38" i="15"/>
  <c r="AD37" i="15"/>
  <c r="AD36" i="15"/>
  <c r="AD35" i="15"/>
  <c r="AD34" i="15"/>
  <c r="AD33" i="15"/>
  <c r="AD32" i="15"/>
  <c r="AD31" i="15"/>
  <c r="AD30" i="15"/>
  <c r="AD29" i="15"/>
  <c r="AD28" i="15"/>
  <c r="AD27" i="15"/>
  <c r="AD26" i="15"/>
  <c r="AD25" i="15"/>
  <c r="AD24" i="15"/>
  <c r="AD23" i="15"/>
  <c r="AD22" i="15"/>
  <c r="AD21" i="15"/>
  <c r="AD20" i="15"/>
  <c r="AD19" i="15"/>
  <c r="AD18" i="15"/>
  <c r="AD17" i="15"/>
  <c r="AD16" i="15"/>
  <c r="AD15" i="15"/>
  <c r="AD14" i="15"/>
  <c r="AD13" i="15"/>
  <c r="AD12" i="15"/>
  <c r="AD11" i="15"/>
  <c r="AD10" i="15"/>
  <c r="Y69" i="15"/>
  <c r="Y67" i="15"/>
  <c r="Y66" i="15"/>
  <c r="Y65" i="15"/>
  <c r="Y64" i="15"/>
  <c r="Y63" i="15"/>
  <c r="Y62" i="15"/>
  <c r="Y61" i="15"/>
  <c r="Y60" i="15"/>
  <c r="Y59" i="15"/>
  <c r="Y58" i="15"/>
  <c r="Y57" i="15"/>
  <c r="Y56" i="15"/>
  <c r="Y55" i="15"/>
  <c r="Y54" i="15"/>
  <c r="Y53" i="15"/>
  <c r="Y52" i="15"/>
  <c r="Y51" i="15"/>
  <c r="Y50" i="15"/>
  <c r="Y49" i="15"/>
  <c r="Y48" i="15"/>
  <c r="Y47" i="15"/>
  <c r="Y46" i="15"/>
  <c r="Y45" i="15"/>
  <c r="Y44" i="15"/>
  <c r="Y43" i="15"/>
  <c r="Y42" i="15"/>
  <c r="Y41" i="15"/>
  <c r="Y40" i="15"/>
  <c r="Y39" i="15"/>
  <c r="Y38" i="15"/>
  <c r="Y37" i="15"/>
  <c r="Y36" i="15"/>
  <c r="Y35" i="15"/>
  <c r="Y34" i="15"/>
  <c r="Y33" i="15"/>
  <c r="Y32" i="15"/>
  <c r="Y31" i="15"/>
  <c r="Y30" i="15"/>
  <c r="Y29" i="15"/>
  <c r="Y28" i="15"/>
  <c r="Y27" i="15"/>
  <c r="Y26" i="15"/>
  <c r="Y25" i="15"/>
  <c r="Y24" i="15"/>
  <c r="Y23" i="15"/>
  <c r="Y22" i="15"/>
  <c r="Y21" i="15"/>
  <c r="Y20" i="15"/>
  <c r="Y19" i="15"/>
  <c r="Y18" i="15"/>
  <c r="Y17" i="15"/>
  <c r="Y16" i="15"/>
  <c r="Y15" i="15"/>
  <c r="Y14" i="15"/>
  <c r="Y13" i="15"/>
  <c r="Y12" i="15"/>
  <c r="Y11" i="15"/>
  <c r="Y10" i="15"/>
  <c r="O67" i="15"/>
  <c r="O66" i="15"/>
  <c r="O65" i="15"/>
  <c r="O64" i="15"/>
  <c r="O63" i="15"/>
  <c r="O62" i="15"/>
  <c r="O61" i="15"/>
  <c r="O60" i="15"/>
  <c r="O59" i="15"/>
  <c r="O58" i="15"/>
  <c r="O57" i="15"/>
  <c r="O56" i="15"/>
  <c r="O55" i="15"/>
  <c r="O54" i="15"/>
  <c r="O53" i="15"/>
  <c r="O52" i="15"/>
  <c r="O51" i="15"/>
  <c r="O50" i="15"/>
  <c r="O49" i="15"/>
  <c r="O48" i="15"/>
  <c r="O47" i="15"/>
  <c r="O46" i="15"/>
  <c r="O45" i="15"/>
  <c r="O44" i="15"/>
  <c r="O43" i="15"/>
  <c r="O42" i="15"/>
  <c r="O41" i="15"/>
  <c r="O40" i="15"/>
  <c r="O39" i="15"/>
  <c r="O38" i="15"/>
  <c r="O37" i="15"/>
  <c r="O36" i="15"/>
  <c r="O35" i="15"/>
  <c r="O34" i="15"/>
  <c r="O33" i="15"/>
  <c r="O32" i="15"/>
  <c r="O31" i="15"/>
  <c r="O30" i="15"/>
  <c r="O29" i="15"/>
  <c r="O28" i="15"/>
  <c r="O27" i="15"/>
  <c r="O26" i="15"/>
  <c r="O25" i="15"/>
  <c r="O24" i="15"/>
  <c r="O23" i="15"/>
  <c r="O22" i="15"/>
  <c r="O21" i="15"/>
  <c r="O20" i="15"/>
  <c r="O19" i="15"/>
  <c r="O18" i="15"/>
  <c r="O17" i="15"/>
  <c r="O16" i="15"/>
  <c r="O15" i="15"/>
  <c r="O14" i="15"/>
  <c r="O13" i="15"/>
  <c r="O12" i="15"/>
  <c r="O11" i="15"/>
  <c r="O10" i="15"/>
  <c r="K10" i="15"/>
  <c r="K69" i="15" s="1"/>
  <c r="H10" i="15"/>
  <c r="H69" i="15" s="1"/>
  <c r="E10" i="15"/>
  <c r="E69" i="15" s="1"/>
  <c r="AX69" i="15" l="1"/>
  <c r="T16" i="15"/>
  <c r="T11" i="15"/>
  <c r="T19" i="15"/>
  <c r="T27" i="15"/>
  <c r="T17" i="15"/>
  <c r="T25" i="15"/>
  <c r="T10" i="15"/>
  <c r="T18" i="15"/>
  <c r="T26" i="15"/>
  <c r="T15" i="15"/>
  <c r="T23" i="15"/>
  <c r="T24" i="15"/>
  <c r="T13" i="15"/>
  <c r="T21" i="15"/>
  <c r="T12" i="15"/>
  <c r="T20" i="15"/>
  <c r="AE9" i="20"/>
  <c r="AE48" i="20"/>
  <c r="Z9" i="20"/>
  <c r="Z48" i="20"/>
  <c r="F48" i="20"/>
  <c r="U48" i="20"/>
  <c r="O69" i="15"/>
  <c r="T69" i="15" l="1"/>
  <c r="K71" i="15" s="1"/>
  <c r="AM7" i="15"/>
  <c r="AL8" i="15"/>
  <c r="AL7" i="15"/>
  <c r="AK7" i="15"/>
  <c r="CE10" i="15"/>
  <c r="CE12" i="15"/>
  <c r="CD8" i="15"/>
  <c r="CD11" i="15" s="1"/>
  <c r="O71" i="15" l="1"/>
  <c r="AK8" i="15"/>
  <c r="CE11" i="15"/>
  <c r="CE13" i="15" l="1"/>
  <c r="CE14" i="15"/>
  <c r="CE15" i="15"/>
  <c r="CE16" i="15"/>
  <c r="CE17" i="15"/>
  <c r="CE18" i="15"/>
  <c r="CE19" i="15"/>
  <c r="CE20" i="15"/>
  <c r="CE21" i="15"/>
  <c r="CE22" i="15"/>
  <c r="CE23" i="15"/>
  <c r="CE24" i="15"/>
  <c r="CE25" i="15"/>
  <c r="CE26" i="15"/>
  <c r="CE27" i="15"/>
  <c r="CE28" i="15"/>
  <c r="CF28" i="15" s="1"/>
  <c r="CE29" i="15"/>
  <c r="CE30" i="15"/>
  <c r="CE31" i="15"/>
  <c r="CE32" i="15"/>
  <c r="CE33" i="15"/>
  <c r="CE34" i="15"/>
  <c r="CF34" i="15" s="1"/>
  <c r="CE35" i="15"/>
  <c r="CE36" i="15"/>
  <c r="CF36" i="15" s="1"/>
  <c r="CE37" i="15"/>
  <c r="CE38" i="15"/>
  <c r="CE39" i="15"/>
  <c r="CE40" i="15"/>
  <c r="CE41" i="15"/>
  <c r="CE42" i="15"/>
  <c r="CE43" i="15"/>
  <c r="CE44" i="15"/>
  <c r="CE45" i="15"/>
  <c r="CE46" i="15"/>
  <c r="CF46" i="15" s="1"/>
  <c r="CE47" i="15"/>
  <c r="CD13" i="15"/>
  <c r="CD15" i="15"/>
  <c r="CF16" i="15"/>
  <c r="CD17" i="15"/>
  <c r="CD19" i="15"/>
  <c r="CD21" i="15"/>
  <c r="CF22" i="15"/>
  <c r="CD23" i="15"/>
  <c r="CF24" i="15"/>
  <c r="CD25" i="15"/>
  <c r="CD27" i="15"/>
  <c r="CD29" i="15"/>
  <c r="CD31" i="15"/>
  <c r="CD33" i="15"/>
  <c r="CD35" i="15"/>
  <c r="CD37" i="15"/>
  <c r="CD39" i="15"/>
  <c r="CF40" i="15"/>
  <c r="CD41" i="15"/>
  <c r="CD43" i="15"/>
  <c r="CD45" i="15"/>
  <c r="CD47" i="15"/>
  <c r="CF12" i="15"/>
  <c r="CF44" i="15" l="1"/>
  <c r="CF32" i="15"/>
  <c r="CF20" i="15"/>
  <c r="CF33" i="15"/>
  <c r="CF21" i="15"/>
  <c r="CF37" i="15"/>
  <c r="CF25" i="15"/>
  <c r="CF45" i="15"/>
  <c r="CF23" i="15"/>
  <c r="CF42" i="15"/>
  <c r="CF30" i="15"/>
  <c r="CF18" i="15"/>
  <c r="CF41" i="15"/>
  <c r="CF29" i="15"/>
  <c r="CF17" i="15"/>
  <c r="CF31" i="15"/>
  <c r="CF15" i="15"/>
  <c r="CF38" i="15"/>
  <c r="CF26" i="15"/>
  <c r="CF14" i="15"/>
  <c r="CF39" i="15"/>
  <c r="CF13" i="15"/>
  <c r="CF43" i="15"/>
  <c r="CF47" i="15"/>
  <c r="CF35" i="15"/>
  <c r="CD69" i="15"/>
  <c r="CF27" i="15"/>
  <c r="CF19" i="15"/>
  <c r="BA10" i="15" l="1"/>
  <c r="M64" i="15" l="1"/>
  <c r="I7" i="20"/>
  <c r="H7" i="20"/>
  <c r="J6" i="20"/>
  <c r="AR10" i="15"/>
  <c r="I7" i="14"/>
  <c r="H7" i="14"/>
  <c r="J6" i="14"/>
  <c r="AV10" i="15" l="1"/>
  <c r="BL9" i="20" l="1"/>
  <c r="BG9" i="20"/>
  <c r="AW9" i="20"/>
  <c r="AC10" i="20"/>
  <c r="AC9" i="20"/>
  <c r="X9" i="20"/>
  <c r="S9" i="20"/>
  <c r="N9" i="20"/>
  <c r="BZ10" i="15"/>
  <c r="BP10" i="15"/>
  <c r="BK10" i="15"/>
  <c r="BF10" i="15"/>
  <c r="AB10" i="15"/>
  <c r="W10" i="15"/>
  <c r="W11" i="15"/>
  <c r="N11" i="14"/>
  <c r="N10" i="14"/>
  <c r="S12" i="14"/>
  <c r="S11" i="14"/>
  <c r="S9" i="14"/>
  <c r="S10" i="14"/>
  <c r="X12" i="14"/>
  <c r="X11" i="14"/>
  <c r="X10" i="14"/>
  <c r="X9" i="14"/>
  <c r="AC12" i="14"/>
  <c r="AC11" i="14"/>
  <c r="AC10" i="14"/>
  <c r="AC9" i="14"/>
  <c r="AH12" i="14"/>
  <c r="AH11" i="14"/>
  <c r="AI11" i="14" s="1"/>
  <c r="AH10" i="14"/>
  <c r="AH9" i="14"/>
  <c r="AQ12" i="15"/>
  <c r="BT13" i="15"/>
  <c r="BU13" i="15"/>
  <c r="BU14" i="15"/>
  <c r="BT15" i="15"/>
  <c r="BU15" i="15"/>
  <c r="BU16" i="15"/>
  <c r="BT17" i="15"/>
  <c r="BU17" i="15"/>
  <c r="BU18" i="15"/>
  <c r="BT19" i="15"/>
  <c r="BU19" i="15"/>
  <c r="BU20" i="15"/>
  <c r="BT21" i="15"/>
  <c r="BU21" i="15"/>
  <c r="BU22" i="15"/>
  <c r="BT23" i="15"/>
  <c r="BU23" i="15"/>
  <c r="BU24" i="15"/>
  <c r="BT25" i="15"/>
  <c r="BU25" i="15"/>
  <c r="BU26" i="15"/>
  <c r="BT27" i="15"/>
  <c r="BU27" i="15"/>
  <c r="BU28" i="15"/>
  <c r="BT29" i="15"/>
  <c r="BU29" i="15"/>
  <c r="BU30" i="15"/>
  <c r="BT31" i="15"/>
  <c r="BU31" i="15"/>
  <c r="BU32" i="15"/>
  <c r="BT33" i="15"/>
  <c r="BU33" i="15"/>
  <c r="BU34" i="15"/>
  <c r="BT35" i="15"/>
  <c r="BU35" i="15"/>
  <c r="BU36" i="15"/>
  <c r="BT37" i="15"/>
  <c r="BU37" i="15"/>
  <c r="BU38" i="15"/>
  <c r="BT39" i="15"/>
  <c r="BU39" i="15"/>
  <c r="BU40" i="15"/>
  <c r="BT41" i="15"/>
  <c r="BU41" i="15"/>
  <c r="BU42" i="15"/>
  <c r="BT43" i="15"/>
  <c r="BU43" i="15"/>
  <c r="BU44" i="15"/>
  <c r="BT45" i="15"/>
  <c r="BU45" i="15"/>
  <c r="BU46" i="15"/>
  <c r="BT47" i="15"/>
  <c r="BU47" i="15"/>
  <c r="BU12" i="15"/>
  <c r="BO13" i="15"/>
  <c r="BP13" i="15"/>
  <c r="BP14" i="15"/>
  <c r="BO15" i="15"/>
  <c r="BP15" i="15"/>
  <c r="BP16" i="15"/>
  <c r="BO17" i="15"/>
  <c r="BP17" i="15"/>
  <c r="BP18" i="15"/>
  <c r="BO19" i="15"/>
  <c r="BP19" i="15"/>
  <c r="BP20" i="15"/>
  <c r="BO21" i="15"/>
  <c r="BP21" i="15"/>
  <c r="BP22" i="15"/>
  <c r="BO23" i="15"/>
  <c r="BP23" i="15"/>
  <c r="BP24" i="15"/>
  <c r="BO25" i="15"/>
  <c r="BP25" i="15"/>
  <c r="BP26" i="15"/>
  <c r="BO27" i="15"/>
  <c r="BP27" i="15"/>
  <c r="BP28" i="15"/>
  <c r="BO29" i="15"/>
  <c r="BP29" i="15"/>
  <c r="BP30" i="15"/>
  <c r="BO31" i="15"/>
  <c r="BP31" i="15"/>
  <c r="BP32" i="15"/>
  <c r="BO33" i="15"/>
  <c r="BP33" i="15"/>
  <c r="BP34" i="15"/>
  <c r="BO35" i="15"/>
  <c r="BP35" i="15"/>
  <c r="BP36" i="15"/>
  <c r="BO37" i="15"/>
  <c r="BP37" i="15"/>
  <c r="BP38" i="15"/>
  <c r="BO39" i="15"/>
  <c r="BP39" i="15"/>
  <c r="BP40" i="15"/>
  <c r="BO41" i="15"/>
  <c r="BP41" i="15"/>
  <c r="BP42" i="15"/>
  <c r="BO43" i="15"/>
  <c r="BP43" i="15"/>
  <c r="BP44" i="15"/>
  <c r="BO45" i="15"/>
  <c r="BP45" i="15"/>
  <c r="BP46" i="15"/>
  <c r="BO47" i="15"/>
  <c r="BP47" i="15"/>
  <c r="BP12" i="15"/>
  <c r="BJ13" i="15"/>
  <c r="BK13" i="15"/>
  <c r="BK14" i="15"/>
  <c r="BJ15" i="15"/>
  <c r="BK15" i="15"/>
  <c r="BK16" i="15"/>
  <c r="BJ17" i="15"/>
  <c r="BK17" i="15"/>
  <c r="BK18" i="15"/>
  <c r="BJ19" i="15"/>
  <c r="BK19" i="15"/>
  <c r="BK20" i="15"/>
  <c r="BJ21" i="15"/>
  <c r="BK21" i="15"/>
  <c r="BK22" i="15"/>
  <c r="BJ23" i="15"/>
  <c r="BK23" i="15"/>
  <c r="BK24" i="15"/>
  <c r="BJ25" i="15"/>
  <c r="BK25" i="15"/>
  <c r="BK26" i="15"/>
  <c r="BJ27" i="15"/>
  <c r="BK27" i="15"/>
  <c r="BK28" i="15"/>
  <c r="BJ29" i="15"/>
  <c r="BK29" i="15"/>
  <c r="BK30" i="15"/>
  <c r="BJ31" i="15"/>
  <c r="BK31" i="15"/>
  <c r="BK32" i="15"/>
  <c r="BJ33" i="15"/>
  <c r="BK33" i="15"/>
  <c r="BK34" i="15"/>
  <c r="BJ35" i="15"/>
  <c r="BK35" i="15"/>
  <c r="BK36" i="15"/>
  <c r="BJ37" i="15"/>
  <c r="BK37" i="15"/>
  <c r="BK38" i="15"/>
  <c r="BL38" i="15" s="1"/>
  <c r="BJ39" i="15"/>
  <c r="BK39" i="15"/>
  <c r="BK40" i="15"/>
  <c r="BJ41" i="15"/>
  <c r="BK41" i="15"/>
  <c r="BK42" i="15"/>
  <c r="BJ43" i="15"/>
  <c r="BK43" i="15"/>
  <c r="BK44" i="15"/>
  <c r="BL44" i="15" s="1"/>
  <c r="BJ45" i="15"/>
  <c r="BK45" i="15"/>
  <c r="BK46" i="15"/>
  <c r="BJ47" i="15"/>
  <c r="BK47" i="15"/>
  <c r="BK12" i="15"/>
  <c r="BL12" i="15"/>
  <c r="BE13" i="15"/>
  <c r="BF13" i="15"/>
  <c r="BF14" i="15"/>
  <c r="BE15" i="15"/>
  <c r="BF15" i="15"/>
  <c r="BF16" i="15"/>
  <c r="BE17" i="15"/>
  <c r="BF17" i="15"/>
  <c r="BF18" i="15"/>
  <c r="BE19" i="15"/>
  <c r="BF19" i="15"/>
  <c r="BF20" i="15"/>
  <c r="BE21" i="15"/>
  <c r="BF21" i="15"/>
  <c r="BF22" i="15"/>
  <c r="BE23" i="15"/>
  <c r="BF23" i="15"/>
  <c r="BF24" i="15"/>
  <c r="BE25" i="15"/>
  <c r="BF25" i="15"/>
  <c r="BF26" i="15"/>
  <c r="BE27" i="15"/>
  <c r="BF27" i="15"/>
  <c r="BF28" i="15"/>
  <c r="BE29" i="15"/>
  <c r="BF29" i="15"/>
  <c r="BF30" i="15"/>
  <c r="BE31" i="15"/>
  <c r="BF31" i="15"/>
  <c r="BF32" i="15"/>
  <c r="BE33" i="15"/>
  <c r="BF33" i="15"/>
  <c r="BF34" i="15"/>
  <c r="BE35" i="15"/>
  <c r="BF35" i="15"/>
  <c r="BF36" i="15"/>
  <c r="BE37" i="15"/>
  <c r="BF37" i="15"/>
  <c r="BF38" i="15"/>
  <c r="BE39" i="15"/>
  <c r="BF39" i="15"/>
  <c r="BF40" i="15"/>
  <c r="BE41" i="15"/>
  <c r="BF41" i="15"/>
  <c r="BF42" i="15"/>
  <c r="BE43" i="15"/>
  <c r="BF43" i="15"/>
  <c r="BF44" i="15"/>
  <c r="BE45" i="15"/>
  <c r="BF45" i="15"/>
  <c r="BF46" i="15"/>
  <c r="BE47" i="15"/>
  <c r="BF47" i="15"/>
  <c r="BF12" i="15"/>
  <c r="BG12" i="15" s="1"/>
  <c r="AU13" i="15"/>
  <c r="AV13" i="15"/>
  <c r="AV14" i="15"/>
  <c r="AU15" i="15"/>
  <c r="AV15" i="15"/>
  <c r="AV16" i="15"/>
  <c r="AU17" i="15"/>
  <c r="AV17" i="15"/>
  <c r="AV18" i="15"/>
  <c r="AU19" i="15"/>
  <c r="AV19" i="15"/>
  <c r="AV20" i="15"/>
  <c r="AU21" i="15"/>
  <c r="AV21" i="15"/>
  <c r="AV22" i="15"/>
  <c r="AU23" i="15"/>
  <c r="AV23" i="15"/>
  <c r="AV24" i="15"/>
  <c r="AU25" i="15"/>
  <c r="AV25" i="15"/>
  <c r="AV26" i="15"/>
  <c r="AU27" i="15"/>
  <c r="AV27" i="15"/>
  <c r="AV28" i="15"/>
  <c r="AU29" i="15"/>
  <c r="AV29" i="15"/>
  <c r="AV30" i="15"/>
  <c r="AU31" i="15"/>
  <c r="AV31" i="15"/>
  <c r="AV32" i="15"/>
  <c r="AU33" i="15"/>
  <c r="AV33" i="15"/>
  <c r="AV34" i="15"/>
  <c r="AU35" i="15"/>
  <c r="AV35" i="15"/>
  <c r="AV36" i="15"/>
  <c r="AU37" i="15"/>
  <c r="AV37" i="15"/>
  <c r="AV38" i="15"/>
  <c r="AU39" i="15"/>
  <c r="AV39" i="15"/>
  <c r="AV40" i="15"/>
  <c r="AU41" i="15"/>
  <c r="AV41" i="15"/>
  <c r="AV42" i="15"/>
  <c r="AU43" i="15"/>
  <c r="AV43" i="15"/>
  <c r="AV44" i="15"/>
  <c r="AU45" i="15"/>
  <c r="AV45" i="15"/>
  <c r="AV46" i="15"/>
  <c r="AU47" i="15"/>
  <c r="AV47" i="15"/>
  <c r="AV12" i="15"/>
  <c r="AP13" i="15"/>
  <c r="AQ13" i="15"/>
  <c r="AQ14" i="15"/>
  <c r="AP15" i="15"/>
  <c r="AQ15" i="15"/>
  <c r="AQ16" i="15"/>
  <c r="AP17" i="15"/>
  <c r="AQ17" i="15"/>
  <c r="AQ18" i="15"/>
  <c r="AP19" i="15"/>
  <c r="AQ19" i="15"/>
  <c r="AQ20" i="15"/>
  <c r="AP21" i="15"/>
  <c r="AQ21" i="15"/>
  <c r="AQ22" i="15"/>
  <c r="AP23" i="15"/>
  <c r="AQ23" i="15"/>
  <c r="AQ24" i="15"/>
  <c r="AP25" i="15"/>
  <c r="AQ25" i="15"/>
  <c r="AQ26" i="15"/>
  <c r="AP27" i="15"/>
  <c r="AQ27" i="15"/>
  <c r="AQ28" i="15"/>
  <c r="AP29" i="15"/>
  <c r="AQ29" i="15"/>
  <c r="AQ30" i="15"/>
  <c r="AP31" i="15"/>
  <c r="AQ31" i="15"/>
  <c r="AQ32" i="15"/>
  <c r="AP33" i="15"/>
  <c r="AQ33" i="15"/>
  <c r="AQ34" i="15"/>
  <c r="AP35" i="15"/>
  <c r="AQ35" i="15"/>
  <c r="AQ36" i="15"/>
  <c r="AP37" i="15"/>
  <c r="AQ37" i="15"/>
  <c r="AQ38" i="15"/>
  <c r="AP39" i="15"/>
  <c r="AQ39" i="15"/>
  <c r="AQ40" i="15"/>
  <c r="AP41" i="15"/>
  <c r="AQ41" i="15"/>
  <c r="AQ42" i="15"/>
  <c r="AP43" i="15"/>
  <c r="AQ43" i="15"/>
  <c r="AQ44" i="15"/>
  <c r="AP45" i="15"/>
  <c r="AQ45" i="15"/>
  <c r="AQ46" i="15"/>
  <c r="AP47" i="15"/>
  <c r="AQ47" i="15"/>
  <c r="M12" i="14"/>
  <c r="N12" i="14"/>
  <c r="R12" i="14"/>
  <c r="W12" i="14"/>
  <c r="AB12" i="14"/>
  <c r="AG12" i="14"/>
  <c r="AH14" i="14"/>
  <c r="AG14" i="14"/>
  <c r="AC14" i="14"/>
  <c r="AB14" i="14"/>
  <c r="X14" i="14"/>
  <c r="W14" i="14"/>
  <c r="S14" i="14"/>
  <c r="R14" i="14"/>
  <c r="N14" i="14"/>
  <c r="M14" i="14"/>
  <c r="M10" i="14"/>
  <c r="R10" i="14"/>
  <c r="N13" i="14"/>
  <c r="AH13" i="14"/>
  <c r="AH15" i="14"/>
  <c r="AI15" i="14" s="1"/>
  <c r="AG16" i="14"/>
  <c r="AH16" i="14"/>
  <c r="AH17" i="14"/>
  <c r="AG18" i="14"/>
  <c r="AH18" i="14"/>
  <c r="AH19" i="14"/>
  <c r="AG20" i="14"/>
  <c r="AH20" i="14"/>
  <c r="AH21" i="14"/>
  <c r="AI21" i="14" s="1"/>
  <c r="AG22" i="14"/>
  <c r="AH22" i="14"/>
  <c r="AH23" i="14"/>
  <c r="AG24" i="14"/>
  <c r="AH24" i="14"/>
  <c r="AH25" i="14"/>
  <c r="AI25" i="14" s="1"/>
  <c r="AG26" i="14"/>
  <c r="AH26" i="14"/>
  <c r="AH27" i="14"/>
  <c r="AG28" i="14"/>
  <c r="AH28" i="14"/>
  <c r="AH29" i="14"/>
  <c r="AG30" i="14"/>
  <c r="AH30" i="14"/>
  <c r="AH31" i="14"/>
  <c r="AG32" i="14"/>
  <c r="AH32" i="14"/>
  <c r="AH33" i="14"/>
  <c r="AG34" i="14"/>
  <c r="AH34" i="14"/>
  <c r="AH35" i="14"/>
  <c r="AG36" i="14"/>
  <c r="AH36" i="14"/>
  <c r="AH37" i="14"/>
  <c r="AI37" i="14" s="1"/>
  <c r="AG38" i="14"/>
  <c r="AH38" i="14"/>
  <c r="AH39" i="14"/>
  <c r="AG40" i="14"/>
  <c r="AH40" i="14"/>
  <c r="AH41" i="14"/>
  <c r="AG42" i="14"/>
  <c r="AH42" i="14"/>
  <c r="AH43" i="14"/>
  <c r="AG44" i="14"/>
  <c r="AH44" i="14"/>
  <c r="AH45" i="14"/>
  <c r="AG46" i="14"/>
  <c r="AH46" i="14"/>
  <c r="AC13" i="14"/>
  <c r="AC15" i="14"/>
  <c r="AB16" i="14"/>
  <c r="AC16" i="14"/>
  <c r="AC17" i="14"/>
  <c r="AB18" i="14"/>
  <c r="AC18" i="14"/>
  <c r="AC19" i="14"/>
  <c r="AB20" i="14"/>
  <c r="AC20" i="14"/>
  <c r="AC21" i="14"/>
  <c r="AD21" i="14" s="1"/>
  <c r="AB22" i="14"/>
  <c r="AC22" i="14"/>
  <c r="AC23" i="14"/>
  <c r="AB24" i="14"/>
  <c r="AC24" i="14"/>
  <c r="AC25" i="14"/>
  <c r="AB26" i="14"/>
  <c r="AC26" i="14"/>
  <c r="AC27" i="14"/>
  <c r="AD27" i="14" s="1"/>
  <c r="AB28" i="14"/>
  <c r="AC28" i="14"/>
  <c r="AC29" i="14"/>
  <c r="AB30" i="14"/>
  <c r="AC30" i="14"/>
  <c r="AC31" i="14"/>
  <c r="AB32" i="14"/>
  <c r="AC32" i="14"/>
  <c r="AC33" i="14"/>
  <c r="AD33" i="14" s="1"/>
  <c r="AB34" i="14"/>
  <c r="AC34" i="14"/>
  <c r="AC35" i="14"/>
  <c r="AB36" i="14"/>
  <c r="AC36" i="14"/>
  <c r="AC37" i="14"/>
  <c r="AB38" i="14"/>
  <c r="AC38" i="14"/>
  <c r="AC39" i="14"/>
  <c r="AB40" i="14"/>
  <c r="AC40" i="14"/>
  <c r="AC41" i="14"/>
  <c r="AB42" i="14"/>
  <c r="AC42" i="14"/>
  <c r="AC43" i="14"/>
  <c r="AB44" i="14"/>
  <c r="AC44" i="14"/>
  <c r="AC45" i="14"/>
  <c r="AB46" i="14"/>
  <c r="AC46" i="14"/>
  <c r="X13" i="14"/>
  <c r="X15" i="14"/>
  <c r="W16" i="14"/>
  <c r="X16" i="14"/>
  <c r="X17" i="14"/>
  <c r="W18" i="14"/>
  <c r="X18" i="14"/>
  <c r="X19" i="14"/>
  <c r="W20" i="14"/>
  <c r="X20" i="14"/>
  <c r="X21" i="14"/>
  <c r="W22" i="14"/>
  <c r="X22" i="14"/>
  <c r="X23" i="14"/>
  <c r="W24" i="14"/>
  <c r="X24" i="14"/>
  <c r="X25" i="14"/>
  <c r="W26" i="14"/>
  <c r="X26" i="14"/>
  <c r="X27" i="14"/>
  <c r="W28" i="14"/>
  <c r="X28" i="14"/>
  <c r="X29" i="14"/>
  <c r="W30" i="14"/>
  <c r="X30" i="14"/>
  <c r="X31" i="14"/>
  <c r="Y31" i="14" s="1"/>
  <c r="W32" i="14"/>
  <c r="X32" i="14"/>
  <c r="X33" i="14"/>
  <c r="W34" i="14"/>
  <c r="X34" i="14"/>
  <c r="X35" i="14"/>
  <c r="W36" i="14"/>
  <c r="X36" i="14"/>
  <c r="X37" i="14"/>
  <c r="W38" i="14"/>
  <c r="X38" i="14"/>
  <c r="X39" i="14"/>
  <c r="W40" i="14"/>
  <c r="X40" i="14"/>
  <c r="X41" i="14"/>
  <c r="W42" i="14"/>
  <c r="X42" i="14"/>
  <c r="X43" i="14"/>
  <c r="W44" i="14"/>
  <c r="X44" i="14"/>
  <c r="X45" i="14"/>
  <c r="W46" i="14"/>
  <c r="X46" i="14"/>
  <c r="S15" i="14"/>
  <c r="S13" i="14"/>
  <c r="R16" i="14"/>
  <c r="S16" i="14"/>
  <c r="S17" i="14"/>
  <c r="R18" i="14"/>
  <c r="S18" i="14"/>
  <c r="S19" i="14"/>
  <c r="R20" i="14"/>
  <c r="S20" i="14"/>
  <c r="S21" i="14"/>
  <c r="R22" i="14"/>
  <c r="S22" i="14"/>
  <c r="S23" i="14"/>
  <c r="R24" i="14"/>
  <c r="S24" i="14"/>
  <c r="S25" i="14"/>
  <c r="R26" i="14"/>
  <c r="S26" i="14"/>
  <c r="S27" i="14"/>
  <c r="R28" i="14"/>
  <c r="S28" i="14"/>
  <c r="S29" i="14"/>
  <c r="R30" i="14"/>
  <c r="S30" i="14"/>
  <c r="S31" i="14"/>
  <c r="R32" i="14"/>
  <c r="S32" i="14"/>
  <c r="S33" i="14"/>
  <c r="R34" i="14"/>
  <c r="S34" i="14"/>
  <c r="S35" i="14"/>
  <c r="R36" i="14"/>
  <c r="S36" i="14"/>
  <c r="S37" i="14"/>
  <c r="R38" i="14"/>
  <c r="S38" i="14"/>
  <c r="S39" i="14"/>
  <c r="R40" i="14"/>
  <c r="S40" i="14"/>
  <c r="S41" i="14"/>
  <c r="R42" i="14"/>
  <c r="S42" i="14"/>
  <c r="S43" i="14"/>
  <c r="R44" i="14"/>
  <c r="S44" i="14"/>
  <c r="S45" i="14"/>
  <c r="R46" i="14"/>
  <c r="S46" i="14"/>
  <c r="N15" i="14"/>
  <c r="M16" i="14"/>
  <c r="N16" i="14"/>
  <c r="N17" i="14"/>
  <c r="M18" i="14"/>
  <c r="N18" i="14"/>
  <c r="N19" i="14"/>
  <c r="M20" i="14"/>
  <c r="N20" i="14"/>
  <c r="N21" i="14"/>
  <c r="M22" i="14"/>
  <c r="N22" i="14"/>
  <c r="N23" i="14"/>
  <c r="M24" i="14"/>
  <c r="N24" i="14"/>
  <c r="N25" i="14"/>
  <c r="M26" i="14"/>
  <c r="N26" i="14"/>
  <c r="N27" i="14"/>
  <c r="M28" i="14"/>
  <c r="N28" i="14"/>
  <c r="N29" i="14"/>
  <c r="M30" i="14"/>
  <c r="N30" i="14"/>
  <c r="N31" i="14"/>
  <c r="M32" i="14"/>
  <c r="N32" i="14"/>
  <c r="N33" i="14"/>
  <c r="M34" i="14"/>
  <c r="N34" i="14"/>
  <c r="N35" i="14"/>
  <c r="M36" i="14"/>
  <c r="N36" i="14"/>
  <c r="N37" i="14"/>
  <c r="M38" i="14"/>
  <c r="N38" i="14"/>
  <c r="N39" i="14"/>
  <c r="M40" i="14"/>
  <c r="N40" i="14"/>
  <c r="N41" i="14"/>
  <c r="M42" i="14"/>
  <c r="N42" i="14"/>
  <c r="N43" i="14"/>
  <c r="M44" i="14"/>
  <c r="N44" i="14"/>
  <c r="N45" i="14"/>
  <c r="M46" i="14"/>
  <c r="N46" i="14"/>
  <c r="BK12" i="20"/>
  <c r="BL12" i="20"/>
  <c r="BK13" i="20"/>
  <c r="BL13" i="20"/>
  <c r="BK14" i="20"/>
  <c r="BL14" i="20"/>
  <c r="BK15" i="20"/>
  <c r="BL15" i="20"/>
  <c r="BK16" i="20"/>
  <c r="BL16" i="20"/>
  <c r="BK17" i="20"/>
  <c r="BL17" i="20"/>
  <c r="BK18" i="20"/>
  <c r="BL18" i="20"/>
  <c r="BK19" i="20"/>
  <c r="BL19" i="20"/>
  <c r="BK20" i="20"/>
  <c r="BL20" i="20"/>
  <c r="BK21" i="20"/>
  <c r="BL21" i="20"/>
  <c r="BK22" i="20"/>
  <c r="BL22" i="20"/>
  <c r="BK23" i="20"/>
  <c r="BL23" i="20"/>
  <c r="BK24" i="20"/>
  <c r="BL24" i="20"/>
  <c r="BK25" i="20"/>
  <c r="BL25" i="20"/>
  <c r="BK26" i="20"/>
  <c r="BL26" i="20"/>
  <c r="BK27" i="20"/>
  <c r="BL27" i="20"/>
  <c r="BK28" i="20"/>
  <c r="BL28" i="20"/>
  <c r="BK29" i="20"/>
  <c r="BL29" i="20"/>
  <c r="BK30" i="20"/>
  <c r="BL30" i="20"/>
  <c r="BK31" i="20"/>
  <c r="BL31" i="20"/>
  <c r="BK32" i="20"/>
  <c r="BL32" i="20"/>
  <c r="BK33" i="20"/>
  <c r="BL33" i="20"/>
  <c r="BK34" i="20"/>
  <c r="BL34" i="20"/>
  <c r="BK35" i="20"/>
  <c r="BL35" i="20"/>
  <c r="BK36" i="20"/>
  <c r="BL36" i="20"/>
  <c r="BK37" i="20"/>
  <c r="BL37" i="20"/>
  <c r="BK38" i="20"/>
  <c r="BL38" i="20"/>
  <c r="BK39" i="20"/>
  <c r="BL39" i="20"/>
  <c r="BK40" i="20"/>
  <c r="BL40" i="20"/>
  <c r="BK41" i="20"/>
  <c r="BL41" i="20"/>
  <c r="BK42" i="20"/>
  <c r="BL42" i="20"/>
  <c r="BK43" i="20"/>
  <c r="BL43" i="20"/>
  <c r="BK44" i="20"/>
  <c r="BL44" i="20"/>
  <c r="BK45" i="20"/>
  <c r="BL45" i="20"/>
  <c r="BK46" i="20"/>
  <c r="BL46" i="20"/>
  <c r="BL11" i="20"/>
  <c r="BK11" i="20"/>
  <c r="BG40" i="20"/>
  <c r="BF40" i="20"/>
  <c r="BF12" i="20"/>
  <c r="BG12" i="20"/>
  <c r="BF13" i="20"/>
  <c r="BG13" i="20"/>
  <c r="BF14" i="20"/>
  <c r="BG14" i="20"/>
  <c r="BF15" i="20"/>
  <c r="BG15" i="20"/>
  <c r="BF16" i="20"/>
  <c r="BG16" i="20"/>
  <c r="BF17" i="20"/>
  <c r="BG17" i="20"/>
  <c r="BF18" i="20"/>
  <c r="BG18" i="20"/>
  <c r="BF19" i="20"/>
  <c r="BG19" i="20"/>
  <c r="BF20" i="20"/>
  <c r="BG20" i="20"/>
  <c r="BF21" i="20"/>
  <c r="BG21" i="20"/>
  <c r="BF22" i="20"/>
  <c r="BG22" i="20"/>
  <c r="BF23" i="20"/>
  <c r="BG23" i="20"/>
  <c r="BF24" i="20"/>
  <c r="BG24" i="20"/>
  <c r="BF25" i="20"/>
  <c r="BG25" i="20"/>
  <c r="BF26" i="20"/>
  <c r="BG26" i="20"/>
  <c r="BF27" i="20"/>
  <c r="BG27" i="20"/>
  <c r="BF28" i="20"/>
  <c r="BG28" i="20"/>
  <c r="BF29" i="20"/>
  <c r="BG29" i="20"/>
  <c r="BF30" i="20"/>
  <c r="BG30" i="20"/>
  <c r="BF31" i="20"/>
  <c r="BG31" i="20"/>
  <c r="BF32" i="20"/>
  <c r="BG32" i="20"/>
  <c r="BF33" i="20"/>
  <c r="BG33" i="20"/>
  <c r="BF34" i="20"/>
  <c r="BG34" i="20"/>
  <c r="BF35" i="20"/>
  <c r="BG35" i="20"/>
  <c r="BF36" i="20"/>
  <c r="BG36" i="20"/>
  <c r="BF37" i="20"/>
  <c r="BG37" i="20"/>
  <c r="BF38" i="20"/>
  <c r="BG38" i="20"/>
  <c r="BF39" i="20"/>
  <c r="BG39" i="20"/>
  <c r="BF41" i="20"/>
  <c r="BG41" i="20"/>
  <c r="BF42" i="20"/>
  <c r="BG42" i="20"/>
  <c r="BF43" i="20"/>
  <c r="BG43" i="20"/>
  <c r="BF44" i="20"/>
  <c r="BG44" i="20"/>
  <c r="BF45" i="20"/>
  <c r="BG45" i="20"/>
  <c r="BF46" i="20"/>
  <c r="BG46" i="20"/>
  <c r="BG11" i="20"/>
  <c r="BF11" i="20"/>
  <c r="BA12" i="20"/>
  <c r="BB12" i="20"/>
  <c r="BA13" i="20"/>
  <c r="BB13" i="20"/>
  <c r="BA14" i="20"/>
  <c r="BB14" i="20"/>
  <c r="BA15" i="20"/>
  <c r="BB15" i="20"/>
  <c r="BA16" i="20"/>
  <c r="BB16" i="20"/>
  <c r="BA17" i="20"/>
  <c r="BB17" i="20"/>
  <c r="BA18" i="20"/>
  <c r="BB18" i="20"/>
  <c r="BA19" i="20"/>
  <c r="BB19" i="20"/>
  <c r="BA20" i="20"/>
  <c r="BB20" i="20"/>
  <c r="BA21" i="20"/>
  <c r="BB21" i="20"/>
  <c r="BA22" i="20"/>
  <c r="BB22" i="20"/>
  <c r="BA23" i="20"/>
  <c r="BB23" i="20"/>
  <c r="BA24" i="20"/>
  <c r="BB24" i="20"/>
  <c r="BA25" i="20"/>
  <c r="BB25" i="20"/>
  <c r="BA26" i="20"/>
  <c r="BB26" i="20"/>
  <c r="BA27" i="20"/>
  <c r="BB27" i="20"/>
  <c r="BA28" i="20"/>
  <c r="BB28" i="20"/>
  <c r="BA29" i="20"/>
  <c r="BB29" i="20"/>
  <c r="BA30" i="20"/>
  <c r="BB30" i="20"/>
  <c r="BA31" i="20"/>
  <c r="BB31" i="20"/>
  <c r="BA32" i="20"/>
  <c r="BB32" i="20"/>
  <c r="BA33" i="20"/>
  <c r="BB33" i="20"/>
  <c r="BA34" i="20"/>
  <c r="BB34" i="20"/>
  <c r="BA35" i="20"/>
  <c r="BB35" i="20"/>
  <c r="BA36" i="20"/>
  <c r="BB36" i="20"/>
  <c r="BA37" i="20"/>
  <c r="BB37" i="20"/>
  <c r="BA38" i="20"/>
  <c r="BB38" i="20"/>
  <c r="BA39" i="20"/>
  <c r="BB39" i="20"/>
  <c r="BA40" i="20"/>
  <c r="BB40" i="20"/>
  <c r="BA41" i="20"/>
  <c r="BB41" i="20"/>
  <c r="BA42" i="20"/>
  <c r="BB42" i="20"/>
  <c r="BA43" i="20"/>
  <c r="BB43" i="20"/>
  <c r="BA44" i="20"/>
  <c r="BB44" i="20"/>
  <c r="BA45" i="20"/>
  <c r="BB45" i="20"/>
  <c r="BA46" i="20"/>
  <c r="BB46" i="20"/>
  <c r="BB11" i="20"/>
  <c r="BA11" i="20"/>
  <c r="AV12" i="20"/>
  <c r="AW12" i="20"/>
  <c r="AV13" i="20"/>
  <c r="AW13" i="20"/>
  <c r="AV14" i="20"/>
  <c r="AW14" i="20"/>
  <c r="AV15" i="20"/>
  <c r="AW15" i="20"/>
  <c r="AV16" i="20"/>
  <c r="AW16" i="20"/>
  <c r="AV17" i="20"/>
  <c r="AW17" i="20"/>
  <c r="AV18" i="20"/>
  <c r="AW18" i="20"/>
  <c r="AV19" i="20"/>
  <c r="AW19" i="20"/>
  <c r="AV20" i="20"/>
  <c r="AW20" i="20"/>
  <c r="AV21" i="20"/>
  <c r="AW21" i="20"/>
  <c r="AV22" i="20"/>
  <c r="AW22" i="20"/>
  <c r="AV23" i="20"/>
  <c r="AW23" i="20"/>
  <c r="AV24" i="20"/>
  <c r="AW24" i="20"/>
  <c r="AV25" i="20"/>
  <c r="AW25" i="20"/>
  <c r="AV26" i="20"/>
  <c r="AW26" i="20"/>
  <c r="AV27" i="20"/>
  <c r="AW27" i="20"/>
  <c r="AV28" i="20"/>
  <c r="AW28" i="20"/>
  <c r="AV29" i="20"/>
  <c r="AW29" i="20"/>
  <c r="AV30" i="20"/>
  <c r="AW30" i="20"/>
  <c r="AV31" i="20"/>
  <c r="AW31" i="20"/>
  <c r="AV32" i="20"/>
  <c r="AW32" i="20"/>
  <c r="AV33" i="20"/>
  <c r="AW33" i="20"/>
  <c r="AV34" i="20"/>
  <c r="AW34" i="20"/>
  <c r="AV35" i="20"/>
  <c r="AX35" i="20" s="1"/>
  <c r="AW35" i="20"/>
  <c r="AV36" i="20"/>
  <c r="AW36" i="20"/>
  <c r="AV37" i="20"/>
  <c r="AW37" i="20"/>
  <c r="AV38" i="20"/>
  <c r="AW38" i="20"/>
  <c r="AV39" i="20"/>
  <c r="AW39" i="20"/>
  <c r="AV40" i="20"/>
  <c r="AW40" i="20"/>
  <c r="AV41" i="20"/>
  <c r="AW41" i="20"/>
  <c r="AV42" i="20"/>
  <c r="AW42" i="20"/>
  <c r="AV43" i="20"/>
  <c r="AX43" i="20" s="1"/>
  <c r="AW43" i="20"/>
  <c r="AV44" i="20"/>
  <c r="AW44" i="20"/>
  <c r="AV45" i="20"/>
  <c r="AW45" i="20"/>
  <c r="AV46" i="20"/>
  <c r="AW46" i="20"/>
  <c r="AW11" i="20"/>
  <c r="AV11" i="20"/>
  <c r="AQ12" i="20"/>
  <c r="AR12" i="20"/>
  <c r="AQ13" i="20"/>
  <c r="AR13" i="20"/>
  <c r="AQ14" i="20"/>
  <c r="AR14" i="20"/>
  <c r="AQ15" i="20"/>
  <c r="AR15" i="20"/>
  <c r="AQ16" i="20"/>
  <c r="AR16" i="20"/>
  <c r="AQ17" i="20"/>
  <c r="AR17" i="20"/>
  <c r="AQ18" i="20"/>
  <c r="AR18" i="20"/>
  <c r="AQ19" i="20"/>
  <c r="AR19" i="20"/>
  <c r="AQ20" i="20"/>
  <c r="AR20" i="20"/>
  <c r="AQ21" i="20"/>
  <c r="AR21" i="20"/>
  <c r="AQ22" i="20"/>
  <c r="AR22" i="20"/>
  <c r="AQ23" i="20"/>
  <c r="AR23" i="20"/>
  <c r="AQ24" i="20"/>
  <c r="AR24" i="20"/>
  <c r="AQ25" i="20"/>
  <c r="AR25" i="20"/>
  <c r="AQ26" i="20"/>
  <c r="AR26" i="20"/>
  <c r="AQ27" i="20"/>
  <c r="AR27" i="20"/>
  <c r="AQ28" i="20"/>
  <c r="AR28" i="20"/>
  <c r="AQ29" i="20"/>
  <c r="AR29" i="20"/>
  <c r="AQ30" i="20"/>
  <c r="AR30" i="20"/>
  <c r="AQ31" i="20"/>
  <c r="AR31" i="20"/>
  <c r="AQ32" i="20"/>
  <c r="AR32" i="20"/>
  <c r="AQ33" i="20"/>
  <c r="AR33" i="20"/>
  <c r="AQ34" i="20"/>
  <c r="AR34" i="20"/>
  <c r="AQ35" i="20"/>
  <c r="AR35" i="20"/>
  <c r="AQ36" i="20"/>
  <c r="AR36" i="20"/>
  <c r="AQ37" i="20"/>
  <c r="AR37" i="20"/>
  <c r="AQ38" i="20"/>
  <c r="AR38" i="20"/>
  <c r="AQ39" i="20"/>
  <c r="AR39" i="20"/>
  <c r="AQ40" i="20"/>
  <c r="AR40" i="20"/>
  <c r="AQ41" i="20"/>
  <c r="AR41" i="20"/>
  <c r="AQ42" i="20"/>
  <c r="AR42" i="20"/>
  <c r="AQ43" i="20"/>
  <c r="AR43" i="20"/>
  <c r="AQ44" i="20"/>
  <c r="AR44" i="20"/>
  <c r="AQ45" i="20"/>
  <c r="AR45" i="20"/>
  <c r="AQ46" i="20"/>
  <c r="AR46" i="20"/>
  <c r="AR11" i="20"/>
  <c r="AQ11" i="20"/>
  <c r="AL12" i="20"/>
  <c r="AM12" i="20"/>
  <c r="AL13" i="20"/>
  <c r="AM13" i="20"/>
  <c r="AL14" i="20"/>
  <c r="AM14" i="20"/>
  <c r="AL15" i="20"/>
  <c r="AM15" i="20"/>
  <c r="AL16" i="20"/>
  <c r="AM16" i="20"/>
  <c r="AL17" i="20"/>
  <c r="AM17" i="20"/>
  <c r="AL18" i="20"/>
  <c r="AM18" i="20"/>
  <c r="AL19" i="20"/>
  <c r="AM19" i="20"/>
  <c r="AL20" i="20"/>
  <c r="AM20" i="20"/>
  <c r="AL21" i="20"/>
  <c r="AM21" i="20"/>
  <c r="AL22" i="20"/>
  <c r="AM22" i="20"/>
  <c r="AL23" i="20"/>
  <c r="AM23" i="20"/>
  <c r="AL24" i="20"/>
  <c r="AM24" i="20"/>
  <c r="AL25" i="20"/>
  <c r="AM25" i="20"/>
  <c r="AL26" i="20"/>
  <c r="AM26" i="20"/>
  <c r="AL27" i="20"/>
  <c r="AM27" i="20"/>
  <c r="AL28" i="20"/>
  <c r="AM28" i="20"/>
  <c r="AL29" i="20"/>
  <c r="AM29" i="20"/>
  <c r="AL30" i="20"/>
  <c r="AM30" i="20"/>
  <c r="AL31" i="20"/>
  <c r="AM31" i="20"/>
  <c r="AL32" i="20"/>
  <c r="AM32" i="20"/>
  <c r="AL33" i="20"/>
  <c r="AM33" i="20"/>
  <c r="AL34" i="20"/>
  <c r="AM34" i="20"/>
  <c r="AL35" i="20"/>
  <c r="AM35" i="20"/>
  <c r="AL36" i="20"/>
  <c r="AM36" i="20"/>
  <c r="AL37" i="20"/>
  <c r="AM37" i="20"/>
  <c r="AL38" i="20"/>
  <c r="AM38" i="20"/>
  <c r="AL39" i="20"/>
  <c r="AM39" i="20"/>
  <c r="AL40" i="20"/>
  <c r="AM40" i="20"/>
  <c r="AL41" i="20"/>
  <c r="AM41" i="20"/>
  <c r="AL42" i="20"/>
  <c r="AM42" i="20"/>
  <c r="AL43" i="20"/>
  <c r="AM43" i="20"/>
  <c r="AL44" i="20"/>
  <c r="AM44" i="20"/>
  <c r="AL45" i="20"/>
  <c r="AM45" i="20"/>
  <c r="AL46" i="20"/>
  <c r="AM46" i="20"/>
  <c r="AM11" i="20"/>
  <c r="AL11" i="20"/>
  <c r="AG12" i="20"/>
  <c r="AH11" i="20"/>
  <c r="AG11" i="20"/>
  <c r="AH12" i="20"/>
  <c r="AG13" i="20"/>
  <c r="AH13" i="20"/>
  <c r="AG14" i="20"/>
  <c r="AH14" i="20"/>
  <c r="AG15" i="20"/>
  <c r="AH15" i="20"/>
  <c r="AG16" i="20"/>
  <c r="AH16" i="20"/>
  <c r="AG17" i="20"/>
  <c r="AH17" i="20"/>
  <c r="AG18" i="20"/>
  <c r="AH18" i="20"/>
  <c r="AG19" i="20"/>
  <c r="AH19" i="20"/>
  <c r="AG20" i="20"/>
  <c r="AH20" i="20"/>
  <c r="AG21" i="20"/>
  <c r="AH21" i="20"/>
  <c r="AG22" i="20"/>
  <c r="AH22" i="20"/>
  <c r="AG23" i="20"/>
  <c r="AH23" i="20"/>
  <c r="AG24" i="20"/>
  <c r="AH24" i="20"/>
  <c r="AG25" i="20"/>
  <c r="AH25" i="20"/>
  <c r="AG26" i="20"/>
  <c r="AH26" i="20"/>
  <c r="AG27" i="20"/>
  <c r="AH27" i="20"/>
  <c r="AG28" i="20"/>
  <c r="AH28" i="20"/>
  <c r="AG29" i="20"/>
  <c r="AH29" i="20"/>
  <c r="AG30" i="20"/>
  <c r="AH30" i="20"/>
  <c r="AG31" i="20"/>
  <c r="AH31" i="20"/>
  <c r="AG32" i="20"/>
  <c r="AH32" i="20"/>
  <c r="AG33" i="20"/>
  <c r="AH33" i="20"/>
  <c r="AG34" i="20"/>
  <c r="AH34" i="20"/>
  <c r="AG35" i="20"/>
  <c r="AH35" i="20"/>
  <c r="AG36" i="20"/>
  <c r="AH36" i="20"/>
  <c r="AG37" i="20"/>
  <c r="AH37" i="20"/>
  <c r="AG38" i="20"/>
  <c r="AH38" i="20"/>
  <c r="AG39" i="20"/>
  <c r="AH39" i="20"/>
  <c r="AG40" i="20"/>
  <c r="AH40" i="20"/>
  <c r="AG41" i="20"/>
  <c r="AH41" i="20"/>
  <c r="AG42" i="20"/>
  <c r="AH42" i="20"/>
  <c r="AG43" i="20"/>
  <c r="AH43" i="20"/>
  <c r="AG44" i="20"/>
  <c r="AH44" i="20"/>
  <c r="AG45" i="20"/>
  <c r="AH45" i="20"/>
  <c r="AG46" i="20"/>
  <c r="AH46" i="20"/>
  <c r="AC11" i="20"/>
  <c r="AB11" i="20"/>
  <c r="AD11" i="20" s="1"/>
  <c r="AB12" i="20"/>
  <c r="AC12" i="20"/>
  <c r="AB13" i="20"/>
  <c r="AC13" i="20"/>
  <c r="AB14" i="20"/>
  <c r="AC14" i="20"/>
  <c r="AB15" i="20"/>
  <c r="AC15" i="20"/>
  <c r="AB16" i="20"/>
  <c r="AC16" i="20"/>
  <c r="AB17" i="20"/>
  <c r="AC17" i="20"/>
  <c r="AB18" i="20"/>
  <c r="AC18" i="20"/>
  <c r="AB19" i="20"/>
  <c r="AC19" i="20"/>
  <c r="AB20" i="20"/>
  <c r="AC20" i="20"/>
  <c r="AB21" i="20"/>
  <c r="AC21" i="20"/>
  <c r="AB22" i="20"/>
  <c r="AC22" i="20"/>
  <c r="AB23" i="20"/>
  <c r="AC23" i="20"/>
  <c r="AB24" i="20"/>
  <c r="AC24" i="20"/>
  <c r="AB25" i="20"/>
  <c r="AC25" i="20"/>
  <c r="AB26" i="20"/>
  <c r="AC26" i="20"/>
  <c r="AB27" i="20"/>
  <c r="AC27" i="20"/>
  <c r="AB28" i="20"/>
  <c r="AC28" i="20"/>
  <c r="AB29" i="20"/>
  <c r="AC29" i="20"/>
  <c r="AB30" i="20"/>
  <c r="AC30" i="20"/>
  <c r="AB31" i="20"/>
  <c r="AC31" i="20"/>
  <c r="AB32" i="20"/>
  <c r="AC32" i="20"/>
  <c r="AB33" i="20"/>
  <c r="AC33" i="20"/>
  <c r="AB34" i="20"/>
  <c r="AC34" i="20"/>
  <c r="AB35" i="20"/>
  <c r="AC35" i="20"/>
  <c r="AB36" i="20"/>
  <c r="AC36" i="20"/>
  <c r="AB37" i="20"/>
  <c r="AC37" i="20"/>
  <c r="AB38" i="20"/>
  <c r="AC38" i="20"/>
  <c r="AB39" i="20"/>
  <c r="AC39" i="20"/>
  <c r="AB40" i="20"/>
  <c r="AC40" i="20"/>
  <c r="AB41" i="20"/>
  <c r="AC41" i="20"/>
  <c r="AB42" i="20"/>
  <c r="AC42" i="20"/>
  <c r="AB43" i="20"/>
  <c r="AC43" i="20"/>
  <c r="AB44" i="20"/>
  <c r="AC44" i="20"/>
  <c r="AB45" i="20"/>
  <c r="AC45" i="20"/>
  <c r="AB46" i="20"/>
  <c r="AC46" i="20"/>
  <c r="W12" i="20"/>
  <c r="X12" i="20"/>
  <c r="W13" i="20"/>
  <c r="X13" i="20"/>
  <c r="W14" i="20"/>
  <c r="X14" i="20"/>
  <c r="W15" i="20"/>
  <c r="X15" i="20"/>
  <c r="W16" i="20"/>
  <c r="X16" i="20"/>
  <c r="W17" i="20"/>
  <c r="X17" i="20"/>
  <c r="W18" i="20"/>
  <c r="X18" i="20"/>
  <c r="W19" i="20"/>
  <c r="X19" i="20"/>
  <c r="W20" i="20"/>
  <c r="X20" i="20"/>
  <c r="W21" i="20"/>
  <c r="X21" i="20"/>
  <c r="W22" i="20"/>
  <c r="X22" i="20"/>
  <c r="W23" i="20"/>
  <c r="X23" i="20"/>
  <c r="W24" i="20"/>
  <c r="X24" i="20"/>
  <c r="W25" i="20"/>
  <c r="X25" i="20"/>
  <c r="W26" i="20"/>
  <c r="X26" i="20"/>
  <c r="W27" i="20"/>
  <c r="X27" i="20"/>
  <c r="W28" i="20"/>
  <c r="X28" i="20"/>
  <c r="W29" i="20"/>
  <c r="X29" i="20"/>
  <c r="W30" i="20"/>
  <c r="X30" i="20"/>
  <c r="W31" i="20"/>
  <c r="X31" i="20"/>
  <c r="W32" i="20"/>
  <c r="X32" i="20"/>
  <c r="W33" i="20"/>
  <c r="X33" i="20"/>
  <c r="W34" i="20"/>
  <c r="X34" i="20"/>
  <c r="W35" i="20"/>
  <c r="X35" i="20"/>
  <c r="W36" i="20"/>
  <c r="X36" i="20"/>
  <c r="W37" i="20"/>
  <c r="X37" i="20"/>
  <c r="W38" i="20"/>
  <c r="X38" i="20"/>
  <c r="W39" i="20"/>
  <c r="X39" i="20"/>
  <c r="W40" i="20"/>
  <c r="X40" i="20"/>
  <c r="W41" i="20"/>
  <c r="X41" i="20"/>
  <c r="W42" i="20"/>
  <c r="X42" i="20"/>
  <c r="W43" i="20"/>
  <c r="X43" i="20"/>
  <c r="W44" i="20"/>
  <c r="X44" i="20"/>
  <c r="W45" i="20"/>
  <c r="X45" i="20"/>
  <c r="W46" i="20"/>
  <c r="X46" i="20"/>
  <c r="X11" i="20"/>
  <c r="W11" i="20"/>
  <c r="S12" i="20"/>
  <c r="R12" i="20"/>
  <c r="R13" i="20"/>
  <c r="S13" i="20"/>
  <c r="R14" i="20"/>
  <c r="S14" i="20"/>
  <c r="R15" i="20"/>
  <c r="S15" i="20"/>
  <c r="R16" i="20"/>
  <c r="S16" i="20"/>
  <c r="R17" i="20"/>
  <c r="S17" i="20"/>
  <c r="R18" i="20"/>
  <c r="S18" i="20"/>
  <c r="R19" i="20"/>
  <c r="S19" i="20"/>
  <c r="R20" i="20"/>
  <c r="S20" i="20"/>
  <c r="R21" i="20"/>
  <c r="S21" i="20"/>
  <c r="R22" i="20"/>
  <c r="S22" i="20"/>
  <c r="R23" i="20"/>
  <c r="S23" i="20"/>
  <c r="R24" i="20"/>
  <c r="S24" i="20"/>
  <c r="R25" i="20"/>
  <c r="S25" i="20"/>
  <c r="R26" i="20"/>
  <c r="S26" i="20"/>
  <c r="R27" i="20"/>
  <c r="S27" i="20"/>
  <c r="R28" i="20"/>
  <c r="S28" i="20"/>
  <c r="R29" i="20"/>
  <c r="S29" i="20"/>
  <c r="R30" i="20"/>
  <c r="S30" i="20"/>
  <c r="R31" i="20"/>
  <c r="S31" i="20"/>
  <c r="R32" i="20"/>
  <c r="S32" i="20"/>
  <c r="R33" i="20"/>
  <c r="S33" i="20"/>
  <c r="R34" i="20"/>
  <c r="S34" i="20"/>
  <c r="R35" i="20"/>
  <c r="S35" i="20"/>
  <c r="R36" i="20"/>
  <c r="S36" i="20"/>
  <c r="R37" i="20"/>
  <c r="S37" i="20"/>
  <c r="R38" i="20"/>
  <c r="S38" i="20"/>
  <c r="R39" i="20"/>
  <c r="S39" i="20"/>
  <c r="R40" i="20"/>
  <c r="S40" i="20"/>
  <c r="R41" i="20"/>
  <c r="S41" i="20"/>
  <c r="R42" i="20"/>
  <c r="S42" i="20"/>
  <c r="R43" i="20"/>
  <c r="S43" i="20"/>
  <c r="R44" i="20"/>
  <c r="S44" i="20"/>
  <c r="R45" i="20"/>
  <c r="S45" i="20"/>
  <c r="R46" i="20"/>
  <c r="S46" i="20"/>
  <c r="S11" i="20"/>
  <c r="R11" i="20"/>
  <c r="M46" i="20"/>
  <c r="N46" i="20"/>
  <c r="M12" i="20"/>
  <c r="N12" i="20"/>
  <c r="N13" i="20"/>
  <c r="O13" i="20" s="1"/>
  <c r="M14" i="20"/>
  <c r="N14" i="20"/>
  <c r="N15" i="20"/>
  <c r="O15" i="20" s="1"/>
  <c r="M16" i="20"/>
  <c r="N16" i="20"/>
  <c r="N17" i="20"/>
  <c r="O17" i="20" s="1"/>
  <c r="M18" i="20"/>
  <c r="N18" i="20"/>
  <c r="N19" i="20"/>
  <c r="M20" i="20"/>
  <c r="N20" i="20"/>
  <c r="N21" i="20"/>
  <c r="O21" i="20" s="1"/>
  <c r="M22" i="20"/>
  <c r="N22" i="20"/>
  <c r="N23" i="20"/>
  <c r="O23" i="20" s="1"/>
  <c r="M24" i="20"/>
  <c r="N24" i="20"/>
  <c r="N25" i="20"/>
  <c r="O25" i="20" s="1"/>
  <c r="M26" i="20"/>
  <c r="N26" i="20"/>
  <c r="N27" i="20"/>
  <c r="O27" i="20" s="1"/>
  <c r="M28" i="20"/>
  <c r="N28" i="20"/>
  <c r="N29" i="20"/>
  <c r="O29" i="20" s="1"/>
  <c r="M30" i="20"/>
  <c r="N30" i="20"/>
  <c r="N31" i="20"/>
  <c r="O31" i="20" s="1"/>
  <c r="M32" i="20"/>
  <c r="N32" i="20"/>
  <c r="N33" i="20"/>
  <c r="O33" i="20" s="1"/>
  <c r="M34" i="20"/>
  <c r="N34" i="20"/>
  <c r="N35" i="20"/>
  <c r="O35" i="20" s="1"/>
  <c r="M36" i="20"/>
  <c r="N36" i="20"/>
  <c r="N37" i="20"/>
  <c r="M38" i="20"/>
  <c r="N38" i="20"/>
  <c r="N39" i="20"/>
  <c r="O39" i="20" s="1"/>
  <c r="M40" i="20"/>
  <c r="N40" i="20"/>
  <c r="N41" i="20"/>
  <c r="O41" i="20" s="1"/>
  <c r="M42" i="20"/>
  <c r="N42" i="20"/>
  <c r="N43" i="20"/>
  <c r="M44" i="20"/>
  <c r="N44" i="20"/>
  <c r="N45" i="20"/>
  <c r="O45" i="20" s="1"/>
  <c r="N11" i="20"/>
  <c r="N10" i="20"/>
  <c r="N11" i="13"/>
  <c r="H682" i="28"/>
  <c r="H680" i="28"/>
  <c r="H678" i="28"/>
  <c r="H676" i="28"/>
  <c r="H674" i="28"/>
  <c r="H672" i="28"/>
  <c r="H670" i="28"/>
  <c r="H668" i="28"/>
  <c r="H666" i="28"/>
  <c r="H664" i="28"/>
  <c r="H662" i="28"/>
  <c r="H660" i="28"/>
  <c r="H658" i="28"/>
  <c r="H656" i="28"/>
  <c r="H654" i="28"/>
  <c r="H652" i="28"/>
  <c r="H650" i="28"/>
  <c r="H648" i="28"/>
  <c r="H646" i="28"/>
  <c r="H644" i="28"/>
  <c r="H642" i="28"/>
  <c r="H640" i="28"/>
  <c r="H638" i="28"/>
  <c r="H636" i="28"/>
  <c r="H634" i="28"/>
  <c r="H632" i="28"/>
  <c r="H630" i="28"/>
  <c r="H628" i="28"/>
  <c r="H626" i="28"/>
  <c r="H624" i="28"/>
  <c r="H622" i="28"/>
  <c r="H620" i="28"/>
  <c r="H618" i="28"/>
  <c r="H616" i="28"/>
  <c r="H614" i="28"/>
  <c r="H612" i="28"/>
  <c r="C609" i="28"/>
  <c r="C608" i="28"/>
  <c r="C610" i="28" s="1"/>
  <c r="H598" i="28"/>
  <c r="H596" i="28"/>
  <c r="H594" i="28"/>
  <c r="H592" i="28"/>
  <c r="H590" i="28"/>
  <c r="H588" i="28"/>
  <c r="H586" i="28"/>
  <c r="H584" i="28"/>
  <c r="H582" i="28"/>
  <c r="H580" i="28"/>
  <c r="H578" i="28"/>
  <c r="H576" i="28"/>
  <c r="H574" i="28"/>
  <c r="H572" i="28"/>
  <c r="H570" i="28"/>
  <c r="H568" i="28"/>
  <c r="H566" i="28"/>
  <c r="H564" i="28"/>
  <c r="H562" i="28"/>
  <c r="H560" i="28"/>
  <c r="H558" i="28"/>
  <c r="C603" i="28" s="1"/>
  <c r="H556" i="28"/>
  <c r="H554" i="28"/>
  <c r="H552" i="28"/>
  <c r="H550" i="28"/>
  <c r="H548" i="28"/>
  <c r="H546" i="28"/>
  <c r="H544" i="28"/>
  <c r="H542" i="28"/>
  <c r="H540" i="28"/>
  <c r="H538" i="28"/>
  <c r="H536" i="28"/>
  <c r="H534" i="28"/>
  <c r="H532" i="28"/>
  <c r="H530" i="28"/>
  <c r="H528" i="28"/>
  <c r="H526" i="28"/>
  <c r="H524" i="28"/>
  <c r="H522" i="28"/>
  <c r="H520" i="28"/>
  <c r="H518" i="28"/>
  <c r="H516" i="28"/>
  <c r="H514" i="28"/>
  <c r="H512" i="28"/>
  <c r="H510" i="28"/>
  <c r="H508" i="28"/>
  <c r="H506" i="28"/>
  <c r="H504" i="28"/>
  <c r="H502" i="28"/>
  <c r="H500" i="28"/>
  <c r="H498" i="28"/>
  <c r="C497" i="28"/>
  <c r="H496" i="28"/>
  <c r="H494" i="28"/>
  <c r="H492" i="28"/>
  <c r="H490" i="28"/>
  <c r="H488" i="28"/>
  <c r="H486" i="28"/>
  <c r="H484" i="28"/>
  <c r="H482" i="28"/>
  <c r="H480" i="28"/>
  <c r="H478" i="28"/>
  <c r="H476" i="28"/>
  <c r="H474" i="28"/>
  <c r="H472" i="28"/>
  <c r="H470" i="28"/>
  <c r="H468" i="28"/>
  <c r="H466" i="28"/>
  <c r="H464" i="28"/>
  <c r="H462" i="28"/>
  <c r="H460" i="28"/>
  <c r="H458" i="28"/>
  <c r="H456" i="28"/>
  <c r="H454" i="28"/>
  <c r="H452" i="28"/>
  <c r="H450" i="28"/>
  <c r="C449" i="28"/>
  <c r="C445" i="28" s="1"/>
  <c r="H448" i="28"/>
  <c r="J446" i="28"/>
  <c r="H446" i="28"/>
  <c r="J444" i="28"/>
  <c r="H444" i="28"/>
  <c r="J442" i="28"/>
  <c r="H442" i="28"/>
  <c r="C441" i="28"/>
  <c r="J437" i="28"/>
  <c r="H437" i="28"/>
  <c r="N433" i="28"/>
  <c r="H433" i="28"/>
  <c r="G433" i="28"/>
  <c r="E433" i="28"/>
  <c r="D433" i="28"/>
  <c r="C433" i="28"/>
  <c r="L431" i="28"/>
  <c r="F431" i="28"/>
  <c r="X430" i="28"/>
  <c r="P430" i="28"/>
  <c r="M430" i="28"/>
  <c r="K430" i="28"/>
  <c r="J430" i="28"/>
  <c r="I430" i="28"/>
  <c r="F430" i="28"/>
  <c r="X429" i="28"/>
  <c r="M429" i="28"/>
  <c r="K429" i="28"/>
  <c r="O431" i="28" s="1"/>
  <c r="J429" i="28"/>
  <c r="I429" i="28"/>
  <c r="F429" i="28"/>
  <c r="P429" i="28" s="1"/>
  <c r="X428" i="28"/>
  <c r="M428" i="28"/>
  <c r="M433" i="28" s="1"/>
  <c r="K428" i="28"/>
  <c r="J428" i="28"/>
  <c r="I428" i="28"/>
  <c r="F428" i="28"/>
  <c r="P428" i="28" s="1"/>
  <c r="O427" i="28"/>
  <c r="L427" i="28"/>
  <c r="F427" i="28"/>
  <c r="F433" i="28" s="1"/>
  <c r="X426" i="28"/>
  <c r="O426" i="28"/>
  <c r="K426" i="28"/>
  <c r="J426" i="28"/>
  <c r="I426" i="28"/>
  <c r="O423" i="28"/>
  <c r="N423" i="28"/>
  <c r="H423" i="28"/>
  <c r="G423" i="28"/>
  <c r="E423" i="28"/>
  <c r="D423" i="28"/>
  <c r="C423" i="28"/>
  <c r="X421" i="28"/>
  <c r="P421" i="28"/>
  <c r="M421" i="28"/>
  <c r="K421" i="28"/>
  <c r="J421" i="28"/>
  <c r="I421" i="28"/>
  <c r="F421" i="28"/>
  <c r="X420" i="28"/>
  <c r="P420" i="28"/>
  <c r="M420" i="28"/>
  <c r="K420" i="28"/>
  <c r="J420" i="28"/>
  <c r="L420" i="28" s="1"/>
  <c r="Y420" i="28" s="1"/>
  <c r="I420" i="28"/>
  <c r="F420" i="28"/>
  <c r="X419" i="28"/>
  <c r="M419" i="28"/>
  <c r="L419" i="28"/>
  <c r="Y419" i="28" s="1"/>
  <c r="F419" i="28"/>
  <c r="P419" i="28" s="1"/>
  <c r="X418" i="28"/>
  <c r="P418" i="28"/>
  <c r="M418" i="28"/>
  <c r="M423" i="28" s="1"/>
  <c r="K418" i="28"/>
  <c r="J418" i="28"/>
  <c r="I418" i="28"/>
  <c r="F418" i="28"/>
  <c r="F423" i="28" s="1"/>
  <c r="N415" i="28"/>
  <c r="J415" i="28"/>
  <c r="I415" i="28"/>
  <c r="H415" i="28"/>
  <c r="G415" i="28"/>
  <c r="E415" i="28"/>
  <c r="D415" i="28"/>
  <c r="C415" i="28"/>
  <c r="L413" i="28"/>
  <c r="K413" i="28"/>
  <c r="F413" i="28"/>
  <c r="X412" i="28"/>
  <c r="M412" i="28"/>
  <c r="K412" i="28"/>
  <c r="L412" i="28" s="1"/>
  <c r="Y412" i="28" s="1"/>
  <c r="F412" i="28"/>
  <c r="P412" i="28" s="1"/>
  <c r="Y411" i="28"/>
  <c r="X411" i="28"/>
  <c r="P411" i="28"/>
  <c r="M411" i="28"/>
  <c r="M415" i="28" s="1"/>
  <c r="L411" i="28"/>
  <c r="F411" i="28"/>
  <c r="Y410" i="28"/>
  <c r="X410" i="28"/>
  <c r="P410" i="28"/>
  <c r="M410" i="28"/>
  <c r="L410" i="28"/>
  <c r="F410" i="28"/>
  <c r="O409" i="28"/>
  <c r="K409" i="28"/>
  <c r="L409" i="28" s="1"/>
  <c r="F409" i="28"/>
  <c r="O408" i="28"/>
  <c r="O415" i="28" s="1"/>
  <c r="K408" i="28"/>
  <c r="F408" i="28"/>
  <c r="L407" i="28"/>
  <c r="F407" i="28"/>
  <c r="F415" i="28" s="1"/>
  <c r="N404" i="28"/>
  <c r="H404" i="28"/>
  <c r="G404" i="28"/>
  <c r="E404" i="28"/>
  <c r="D404" i="28"/>
  <c r="C404" i="28"/>
  <c r="X402" i="28"/>
  <c r="P402" i="28"/>
  <c r="M402" i="28"/>
  <c r="K402" i="28"/>
  <c r="J402" i="28"/>
  <c r="I402" i="28"/>
  <c r="F402" i="28"/>
  <c r="X401" i="28"/>
  <c r="M401" i="28"/>
  <c r="L401" i="28"/>
  <c r="Y401" i="28" s="1"/>
  <c r="F401" i="28"/>
  <c r="F404" i="28" s="1"/>
  <c r="X400" i="28"/>
  <c r="P400" i="28"/>
  <c r="M400" i="28"/>
  <c r="M404" i="28" s="1"/>
  <c r="K400" i="28"/>
  <c r="J400" i="28"/>
  <c r="I400" i="28"/>
  <c r="F400" i="28"/>
  <c r="O399" i="28"/>
  <c r="O404" i="28" s="1"/>
  <c r="K399" i="28"/>
  <c r="J399" i="28"/>
  <c r="I399" i="28"/>
  <c r="F399" i="28"/>
  <c r="L398" i="28"/>
  <c r="F398" i="28"/>
  <c r="O395" i="28"/>
  <c r="N395" i="28"/>
  <c r="H395" i="28"/>
  <c r="G395" i="28"/>
  <c r="E395" i="28"/>
  <c r="D395" i="28"/>
  <c r="C395" i="28"/>
  <c r="X393" i="28"/>
  <c r="M393" i="28"/>
  <c r="K393" i="28"/>
  <c r="J393" i="28"/>
  <c r="I393" i="28"/>
  <c r="F393" i="28"/>
  <c r="F395" i="28" s="1"/>
  <c r="X392" i="28"/>
  <c r="M392" i="28"/>
  <c r="K392" i="28"/>
  <c r="J392" i="28"/>
  <c r="I392" i="28"/>
  <c r="F392" i="28"/>
  <c r="P392" i="28" s="1"/>
  <c r="X391" i="28"/>
  <c r="P391" i="28"/>
  <c r="M391" i="28"/>
  <c r="K391" i="28"/>
  <c r="J391" i="28"/>
  <c r="I391" i="28"/>
  <c r="F391" i="28"/>
  <c r="X390" i="28"/>
  <c r="P390" i="28"/>
  <c r="M390" i="28"/>
  <c r="K390" i="28"/>
  <c r="J390" i="28"/>
  <c r="I390" i="28"/>
  <c r="F390" i="28"/>
  <c r="X389" i="28"/>
  <c r="P389" i="28"/>
  <c r="M389" i="28"/>
  <c r="L389" i="28"/>
  <c r="Y389" i="28" s="1"/>
  <c r="F389" i="28"/>
  <c r="X388" i="28"/>
  <c r="P388" i="28"/>
  <c r="M388" i="28"/>
  <c r="K388" i="28"/>
  <c r="J388" i="28"/>
  <c r="I388" i="28"/>
  <c r="X387" i="28"/>
  <c r="P387" i="28"/>
  <c r="M387" i="28"/>
  <c r="K387" i="28"/>
  <c r="J387" i="28"/>
  <c r="I387" i="28"/>
  <c r="F387" i="28"/>
  <c r="X386" i="28"/>
  <c r="M386" i="28"/>
  <c r="M395" i="28" s="1"/>
  <c r="K386" i="28"/>
  <c r="J386" i="28"/>
  <c r="I386" i="28"/>
  <c r="F386" i="28"/>
  <c r="P386" i="28" s="1"/>
  <c r="O383" i="28"/>
  <c r="N383" i="28"/>
  <c r="M383" i="28"/>
  <c r="J383" i="28"/>
  <c r="I383" i="28"/>
  <c r="H383" i="28"/>
  <c r="G383" i="28"/>
  <c r="E383" i="28"/>
  <c r="D383" i="28"/>
  <c r="C383" i="28"/>
  <c r="X381" i="28"/>
  <c r="M381" i="28"/>
  <c r="K381" i="28"/>
  <c r="K383" i="28" s="1"/>
  <c r="F381" i="28"/>
  <c r="F383" i="28" s="1"/>
  <c r="D381" i="28"/>
  <c r="P381" i="28" s="1"/>
  <c r="Y380" i="28"/>
  <c r="X380" i="28"/>
  <c r="P380" i="28"/>
  <c r="M380" i="28"/>
  <c r="L380" i="28"/>
  <c r="F380" i="28"/>
  <c r="O377" i="28"/>
  <c r="N377" i="28"/>
  <c r="J377" i="28"/>
  <c r="I377" i="28"/>
  <c r="H377" i="28"/>
  <c r="G377" i="28"/>
  <c r="E377" i="28"/>
  <c r="D377" i="28"/>
  <c r="D435" i="28" s="1"/>
  <c r="X375" i="28"/>
  <c r="P375" i="28"/>
  <c r="M375" i="28"/>
  <c r="L375" i="28"/>
  <c r="Y375" i="28" s="1"/>
  <c r="X374" i="28"/>
  <c r="M374" i="28"/>
  <c r="L374" i="28"/>
  <c r="Y374" i="28" s="1"/>
  <c r="F374" i="28"/>
  <c r="P374" i="28" s="1"/>
  <c r="X373" i="28"/>
  <c r="P373" i="28"/>
  <c r="M373" i="28"/>
  <c r="L373" i="28"/>
  <c r="Y373" i="28" s="1"/>
  <c r="F373" i="28"/>
  <c r="F377" i="28" s="1"/>
  <c r="X372" i="28"/>
  <c r="M372" i="28"/>
  <c r="K372" i="28"/>
  <c r="L372" i="28" s="1"/>
  <c r="Y372" i="28" s="1"/>
  <c r="F372" i="28"/>
  <c r="C372" i="28"/>
  <c r="P372" i="28" s="1"/>
  <c r="X371" i="28"/>
  <c r="P371" i="28"/>
  <c r="M371" i="28"/>
  <c r="M377" i="28" s="1"/>
  <c r="K371" i="28"/>
  <c r="O368" i="28"/>
  <c r="N368" i="28"/>
  <c r="I368" i="28"/>
  <c r="H368" i="28"/>
  <c r="H435" i="28" s="1"/>
  <c r="G368" i="28"/>
  <c r="F368" i="28"/>
  <c r="E368" i="28"/>
  <c r="E435" i="28" s="1"/>
  <c r="D368" i="28"/>
  <c r="C368" i="28"/>
  <c r="P368" i="28" s="1"/>
  <c r="X366" i="28"/>
  <c r="P366" i="28"/>
  <c r="M366" i="28"/>
  <c r="M368" i="28" s="1"/>
  <c r="K366" i="28"/>
  <c r="J366" i="28"/>
  <c r="X365" i="28"/>
  <c r="P365" i="28"/>
  <c r="M365" i="28"/>
  <c r="K365" i="28"/>
  <c r="J365" i="28"/>
  <c r="O362" i="28"/>
  <c r="N362" i="28"/>
  <c r="M362" i="28"/>
  <c r="I362" i="28"/>
  <c r="H362" i="28"/>
  <c r="G362" i="28"/>
  <c r="E362" i="28"/>
  <c r="D362" i="28"/>
  <c r="C362" i="28"/>
  <c r="X360" i="28"/>
  <c r="P360" i="28"/>
  <c r="M360" i="28"/>
  <c r="K360" i="28"/>
  <c r="J360" i="28"/>
  <c r="F360" i="28"/>
  <c r="F362" i="28" s="1"/>
  <c r="X359" i="28"/>
  <c r="P359" i="28"/>
  <c r="M359" i="28"/>
  <c r="K359" i="28"/>
  <c r="J359" i="28"/>
  <c r="X358" i="28"/>
  <c r="P358" i="28"/>
  <c r="M358" i="28"/>
  <c r="K358" i="28"/>
  <c r="J358" i="28"/>
  <c r="O355" i="28"/>
  <c r="N355" i="28"/>
  <c r="N435" i="28" s="1"/>
  <c r="M355" i="28"/>
  <c r="I355" i="28"/>
  <c r="H355" i="28"/>
  <c r="G355" i="28"/>
  <c r="G435" i="28" s="1"/>
  <c r="E355" i="28"/>
  <c r="D355" i="28"/>
  <c r="C355" i="28"/>
  <c r="P355" i="28" s="1"/>
  <c r="X353" i="28"/>
  <c r="P353" i="28"/>
  <c r="M353" i="28"/>
  <c r="K353" i="28"/>
  <c r="J353" i="28"/>
  <c r="F353" i="28"/>
  <c r="X352" i="28"/>
  <c r="M352" i="28"/>
  <c r="K352" i="28"/>
  <c r="J352" i="28"/>
  <c r="F352" i="28"/>
  <c r="F355" i="28" s="1"/>
  <c r="O349" i="28"/>
  <c r="N349" i="28"/>
  <c r="J349" i="28"/>
  <c r="I349" i="28"/>
  <c r="H349" i="28"/>
  <c r="G349" i="28"/>
  <c r="F349" i="28"/>
  <c r="E349" i="28"/>
  <c r="D349" i="28"/>
  <c r="C349" i="28"/>
  <c r="P349" i="28" s="1"/>
  <c r="X347" i="28"/>
  <c r="P347" i="28"/>
  <c r="M347" i="28"/>
  <c r="K347" i="28"/>
  <c r="L347" i="28" s="1"/>
  <c r="Y347" i="28" s="1"/>
  <c r="X346" i="28"/>
  <c r="P346" i="28"/>
  <c r="M346" i="28"/>
  <c r="M349" i="28" s="1"/>
  <c r="K346" i="28"/>
  <c r="L346" i="28" s="1"/>
  <c r="Y346" i="28" s="1"/>
  <c r="X345" i="28"/>
  <c r="P345" i="28"/>
  <c r="M345" i="28"/>
  <c r="K345" i="28"/>
  <c r="O342" i="28"/>
  <c r="N342" i="28"/>
  <c r="K342" i="28"/>
  <c r="J342" i="28"/>
  <c r="I342" i="28"/>
  <c r="H342" i="28"/>
  <c r="G342" i="28"/>
  <c r="F342" i="28"/>
  <c r="E342" i="28"/>
  <c r="D342" i="28"/>
  <c r="C342" i="28"/>
  <c r="P342" i="28" s="1"/>
  <c r="Y340" i="28"/>
  <c r="X340" i="28"/>
  <c r="P340" i="28"/>
  <c r="M340" i="28"/>
  <c r="M342" i="28" s="1"/>
  <c r="L340" i="28"/>
  <c r="X339" i="28"/>
  <c r="P339" i="28"/>
  <c r="M339" i="28"/>
  <c r="L339" i="28"/>
  <c r="Y339" i="28" s="1"/>
  <c r="N334" i="28"/>
  <c r="M334" i="28"/>
  <c r="H334" i="28"/>
  <c r="G334" i="28"/>
  <c r="E334" i="28"/>
  <c r="D334" i="28"/>
  <c r="C334" i="28"/>
  <c r="O332" i="28"/>
  <c r="L332" i="28"/>
  <c r="O331" i="28"/>
  <c r="L331" i="28"/>
  <c r="O330" i="28"/>
  <c r="L330" i="28"/>
  <c r="F330" i="28"/>
  <c r="E330" i="28"/>
  <c r="O329" i="28"/>
  <c r="L329" i="28"/>
  <c r="F329" i="28"/>
  <c r="O328" i="28"/>
  <c r="L328" i="28"/>
  <c r="F328" i="28"/>
  <c r="E328" i="28"/>
  <c r="O327" i="28"/>
  <c r="F327" i="28"/>
  <c r="E326" i="28"/>
  <c r="O325" i="28"/>
  <c r="L325" i="28"/>
  <c r="F325" i="28"/>
  <c r="O324" i="28"/>
  <c r="L324" i="28"/>
  <c r="F324" i="28"/>
  <c r="O323" i="28"/>
  <c r="L323" i="28"/>
  <c r="F323" i="28"/>
  <c r="O322" i="28"/>
  <c r="L322" i="28"/>
  <c r="F322" i="28"/>
  <c r="E322" i="28"/>
  <c r="O321" i="28"/>
  <c r="L321" i="28"/>
  <c r="F321" i="28"/>
  <c r="O320" i="28"/>
  <c r="L320" i="28"/>
  <c r="F320" i="28"/>
  <c r="O319" i="28"/>
  <c r="L319" i="28"/>
  <c r="F319" i="28"/>
  <c r="O318" i="28"/>
  <c r="L318" i="28"/>
  <c r="F318" i="28"/>
  <c r="O317" i="28"/>
  <c r="L317" i="28"/>
  <c r="F317" i="28"/>
  <c r="K316" i="28"/>
  <c r="J316" i="28"/>
  <c r="I316" i="28"/>
  <c r="F316" i="28"/>
  <c r="X315" i="28"/>
  <c r="M315" i="28"/>
  <c r="K315" i="28"/>
  <c r="J315" i="28"/>
  <c r="I315" i="28"/>
  <c r="F315" i="28"/>
  <c r="P315" i="28" s="1"/>
  <c r="O314" i="28"/>
  <c r="F314" i="28"/>
  <c r="O312" i="28"/>
  <c r="L312" i="28"/>
  <c r="F312" i="28"/>
  <c r="O311" i="28"/>
  <c r="L311" i="28"/>
  <c r="F311" i="28"/>
  <c r="F334" i="28" s="1"/>
  <c r="N308" i="28"/>
  <c r="M308" i="28"/>
  <c r="J308" i="28"/>
  <c r="I308" i="28"/>
  <c r="H308" i="28"/>
  <c r="G308" i="28"/>
  <c r="D308" i="28"/>
  <c r="C308" i="28"/>
  <c r="P308" i="28" s="1"/>
  <c r="O306" i="28"/>
  <c r="L306" i="28"/>
  <c r="F306" i="28"/>
  <c r="E306" i="28"/>
  <c r="O305" i="28"/>
  <c r="L305" i="28"/>
  <c r="F305" i="28"/>
  <c r="O304" i="28"/>
  <c r="L304" i="28"/>
  <c r="F304" i="28"/>
  <c r="E303" i="28"/>
  <c r="E308" i="28" s="1"/>
  <c r="O302" i="28"/>
  <c r="L302" i="28"/>
  <c r="F302" i="28"/>
  <c r="O301" i="28"/>
  <c r="L301" i="28"/>
  <c r="F301" i="28"/>
  <c r="K300" i="28"/>
  <c r="O300" i="28" s="1"/>
  <c r="F300" i="28"/>
  <c r="K299" i="28"/>
  <c r="F299" i="28"/>
  <c r="O298" i="28"/>
  <c r="L298" i="28"/>
  <c r="F298" i="28"/>
  <c r="O297" i="28"/>
  <c r="L297" i="28"/>
  <c r="F297" i="28"/>
  <c r="O296" i="28"/>
  <c r="L296" i="28"/>
  <c r="F296" i="28"/>
  <c r="O295" i="28"/>
  <c r="L295" i="28"/>
  <c r="F295" i="28"/>
  <c r="O294" i="28"/>
  <c r="L294" i="28"/>
  <c r="F294" i="28"/>
  <c r="X293" i="28"/>
  <c r="M293" i="28"/>
  <c r="L293" i="28"/>
  <c r="Y293" i="28" s="1"/>
  <c r="F293" i="28"/>
  <c r="P293" i="28" s="1"/>
  <c r="O292" i="28"/>
  <c r="L292" i="28"/>
  <c r="F292" i="28"/>
  <c r="F308" i="28" s="1"/>
  <c r="O290" i="28"/>
  <c r="L290" i="28"/>
  <c r="F290" i="28"/>
  <c r="O287" i="28"/>
  <c r="N287" i="28"/>
  <c r="H287" i="28"/>
  <c r="G287" i="28"/>
  <c r="D287" i="28"/>
  <c r="C287" i="28"/>
  <c r="X285" i="28"/>
  <c r="M285" i="28"/>
  <c r="J285" i="28"/>
  <c r="L285" i="28" s="1"/>
  <c r="Y285" i="28" s="1"/>
  <c r="F285" i="28"/>
  <c r="P285" i="28" s="1"/>
  <c r="X284" i="28"/>
  <c r="P284" i="28"/>
  <c r="M284" i="28"/>
  <c r="J284" i="28"/>
  <c r="L284" i="28" s="1"/>
  <c r="Y284" i="28" s="1"/>
  <c r="X283" i="28"/>
  <c r="M283" i="28"/>
  <c r="J283" i="28"/>
  <c r="L283" i="28" s="1"/>
  <c r="Y283" i="28" s="1"/>
  <c r="F283" i="28"/>
  <c r="E283" i="28"/>
  <c r="P283" i="28" s="1"/>
  <c r="X282" i="28"/>
  <c r="P282" i="28"/>
  <c r="M282" i="28"/>
  <c r="J282" i="28"/>
  <c r="L282" i="28" s="1"/>
  <c r="Y282" i="28" s="1"/>
  <c r="X281" i="28"/>
  <c r="P281" i="28"/>
  <c r="M281" i="28"/>
  <c r="J281" i="28"/>
  <c r="L281" i="28" s="1"/>
  <c r="Y281" i="28" s="1"/>
  <c r="F281" i="28"/>
  <c r="Y280" i="28"/>
  <c r="X280" i="28"/>
  <c r="M280" i="28"/>
  <c r="E280" i="28"/>
  <c r="E287" i="28" s="1"/>
  <c r="X279" i="28"/>
  <c r="P279" i="28"/>
  <c r="M279" i="28"/>
  <c r="J279" i="28"/>
  <c r="L279" i="28" s="1"/>
  <c r="Y279" i="28" s="1"/>
  <c r="X278" i="28"/>
  <c r="M278" i="28"/>
  <c r="J278" i="28"/>
  <c r="L278" i="28" s="1"/>
  <c r="Y278" i="28" s="1"/>
  <c r="F278" i="28"/>
  <c r="P278" i="28" s="1"/>
  <c r="X277" i="28"/>
  <c r="P277" i="28"/>
  <c r="M277" i="28"/>
  <c r="J277" i="28"/>
  <c r="L277" i="28" s="1"/>
  <c r="Y277" i="28" s="1"/>
  <c r="F277" i="28"/>
  <c r="X276" i="28"/>
  <c r="M276" i="28"/>
  <c r="J276" i="28"/>
  <c r="L276" i="28" s="1"/>
  <c r="Y276" i="28" s="1"/>
  <c r="F276" i="28"/>
  <c r="P276" i="28" s="1"/>
  <c r="X275" i="28"/>
  <c r="P275" i="28"/>
  <c r="M275" i="28"/>
  <c r="J275" i="28"/>
  <c r="L275" i="28" s="1"/>
  <c r="Y275" i="28" s="1"/>
  <c r="F275" i="28"/>
  <c r="X274" i="28"/>
  <c r="P274" i="28"/>
  <c r="M274" i="28"/>
  <c r="J274" i="28"/>
  <c r="L274" i="28" s="1"/>
  <c r="Y274" i="28" s="1"/>
  <c r="F274" i="28"/>
  <c r="X273" i="28"/>
  <c r="M273" i="28"/>
  <c r="J273" i="28"/>
  <c r="L273" i="28" s="1"/>
  <c r="Y273" i="28" s="1"/>
  <c r="F273" i="28"/>
  <c r="P273" i="28" s="1"/>
  <c r="X272" i="28"/>
  <c r="P272" i="28"/>
  <c r="M272" i="28"/>
  <c r="J272" i="28"/>
  <c r="L272" i="28" s="1"/>
  <c r="Y272" i="28" s="1"/>
  <c r="F272" i="28"/>
  <c r="X271" i="28"/>
  <c r="M271" i="28"/>
  <c r="J271" i="28"/>
  <c r="L271" i="28" s="1"/>
  <c r="Y271" i="28" s="1"/>
  <c r="F271" i="28"/>
  <c r="P271" i="28" s="1"/>
  <c r="X270" i="28"/>
  <c r="M270" i="28"/>
  <c r="M287" i="28" s="1"/>
  <c r="J270" i="28"/>
  <c r="I270" i="28"/>
  <c r="F270" i="28"/>
  <c r="P270" i="28" s="1"/>
  <c r="X269" i="28"/>
  <c r="M269" i="28"/>
  <c r="J269" i="28"/>
  <c r="I269" i="28"/>
  <c r="F269" i="28"/>
  <c r="P269" i="28" s="1"/>
  <c r="P268" i="28"/>
  <c r="X267" i="28"/>
  <c r="M267" i="28"/>
  <c r="K267" i="28"/>
  <c r="K287" i="28" s="1"/>
  <c r="J267" i="28"/>
  <c r="I267" i="28"/>
  <c r="F267" i="28"/>
  <c r="P267" i="28" s="1"/>
  <c r="O264" i="28"/>
  <c r="N264" i="28"/>
  <c r="H264" i="28"/>
  <c r="G264" i="28"/>
  <c r="E264" i="28"/>
  <c r="D264" i="28"/>
  <c r="C264" i="28"/>
  <c r="X262" i="28"/>
  <c r="M262" i="28"/>
  <c r="L262" i="28"/>
  <c r="Y262" i="28" s="1"/>
  <c r="F262" i="28"/>
  <c r="P262" i="28" s="1"/>
  <c r="Y261" i="28"/>
  <c r="X261" i="28"/>
  <c r="M261" i="28"/>
  <c r="L261" i="28"/>
  <c r="F261" i="28"/>
  <c r="P261" i="28" s="1"/>
  <c r="X260" i="28"/>
  <c r="M260" i="28"/>
  <c r="L260" i="28"/>
  <c r="Y260" i="28" s="1"/>
  <c r="F260" i="28"/>
  <c r="P260" i="28" s="1"/>
  <c r="Y259" i="28"/>
  <c r="X259" i="28"/>
  <c r="M259" i="28"/>
  <c r="L259" i="28"/>
  <c r="F259" i="28"/>
  <c r="P259" i="28" s="1"/>
  <c r="X258" i="28"/>
  <c r="M258" i="28"/>
  <c r="L258" i="28"/>
  <c r="Y258" i="28" s="1"/>
  <c r="F258" i="28"/>
  <c r="P258" i="28" s="1"/>
  <c r="Y257" i="28"/>
  <c r="X257" i="28"/>
  <c r="M257" i="28"/>
  <c r="L257" i="28"/>
  <c r="F257" i="28"/>
  <c r="P257" i="28" s="1"/>
  <c r="X256" i="28"/>
  <c r="M256" i="28"/>
  <c r="L256" i="28"/>
  <c r="Y256" i="28" s="1"/>
  <c r="F256" i="28"/>
  <c r="P256" i="28" s="1"/>
  <c r="Y255" i="28"/>
  <c r="X255" i="28"/>
  <c r="M255" i="28"/>
  <c r="L255" i="28"/>
  <c r="F255" i="28"/>
  <c r="P255" i="28" s="1"/>
  <c r="X254" i="28"/>
  <c r="P254" i="28"/>
  <c r="M254" i="28"/>
  <c r="L254" i="28"/>
  <c r="Y254" i="28" s="1"/>
  <c r="X253" i="28"/>
  <c r="P253" i="28"/>
  <c r="M253" i="28"/>
  <c r="K253" i="28"/>
  <c r="K264" i="28" s="1"/>
  <c r="J253" i="28"/>
  <c r="J264" i="28" s="1"/>
  <c r="I253" i="28"/>
  <c r="I264" i="28" s="1"/>
  <c r="F253" i="28"/>
  <c r="X252" i="28"/>
  <c r="M252" i="28"/>
  <c r="L252" i="28"/>
  <c r="Y252" i="28" s="1"/>
  <c r="F252" i="28"/>
  <c r="P252" i="28" s="1"/>
  <c r="P251" i="28"/>
  <c r="Y250" i="28"/>
  <c r="X250" i="28"/>
  <c r="P250" i="28"/>
  <c r="M250" i="28"/>
  <c r="L250" i="28"/>
  <c r="F250" i="28"/>
  <c r="X249" i="28"/>
  <c r="M249" i="28"/>
  <c r="M264" i="28" s="1"/>
  <c r="L249" i="28"/>
  <c r="Y249" i="28" s="1"/>
  <c r="F249" i="28"/>
  <c r="P249" i="28" s="1"/>
  <c r="Y248" i="28"/>
  <c r="X248" i="28"/>
  <c r="P248" i="28"/>
  <c r="M248" i="28"/>
  <c r="L248" i="28"/>
  <c r="F248" i="28"/>
  <c r="N245" i="28"/>
  <c r="H245" i="28"/>
  <c r="G245" i="28"/>
  <c r="D245" i="28"/>
  <c r="C245" i="28"/>
  <c r="X243" i="28"/>
  <c r="P243" i="28"/>
  <c r="M243" i="28"/>
  <c r="K243" i="28"/>
  <c r="J243" i="28"/>
  <c r="I243" i="28"/>
  <c r="F243" i="28"/>
  <c r="E243" i="28"/>
  <c r="Y242" i="28"/>
  <c r="X242" i="28"/>
  <c r="M242" i="28"/>
  <c r="F242" i="28"/>
  <c r="E242" i="28"/>
  <c r="E245" i="28" s="1"/>
  <c r="Y241" i="28"/>
  <c r="X241" i="28"/>
  <c r="P241" i="28"/>
  <c r="O241" i="28"/>
  <c r="L241" i="28"/>
  <c r="F241" i="28"/>
  <c r="X240" i="28"/>
  <c r="O240" i="28"/>
  <c r="L240" i="28"/>
  <c r="Y240" i="28" s="1"/>
  <c r="F240" i="28"/>
  <c r="P240" i="28" s="1"/>
  <c r="Y239" i="28"/>
  <c r="X239" i="28"/>
  <c r="P239" i="28"/>
  <c r="O239" i="28"/>
  <c r="L239" i="28"/>
  <c r="F239" i="28"/>
  <c r="X238" i="28"/>
  <c r="O238" i="28"/>
  <c r="L238" i="28"/>
  <c r="Y238" i="28" s="1"/>
  <c r="F238" i="28"/>
  <c r="P238" i="28" s="1"/>
  <c r="Y237" i="28"/>
  <c r="X237" i="28"/>
  <c r="P237" i="28"/>
  <c r="O237" i="28"/>
  <c r="L237" i="28"/>
  <c r="F237" i="28"/>
  <c r="X236" i="28"/>
  <c r="O236" i="28"/>
  <c r="L236" i="28"/>
  <c r="Y236" i="28" s="1"/>
  <c r="F236" i="28"/>
  <c r="P236" i="28" s="1"/>
  <c r="Y235" i="28"/>
  <c r="X235" i="28"/>
  <c r="P235" i="28"/>
  <c r="O235" i="28"/>
  <c r="L235" i="28"/>
  <c r="F235" i="28"/>
  <c r="X234" i="28"/>
  <c r="O234" i="28"/>
  <c r="L234" i="28"/>
  <c r="Y234" i="28" s="1"/>
  <c r="F234" i="28"/>
  <c r="P234" i="28" s="1"/>
  <c r="Y233" i="28"/>
  <c r="X233" i="28"/>
  <c r="P233" i="28"/>
  <c r="O233" i="28"/>
  <c r="L233" i="28"/>
  <c r="F233" i="28"/>
  <c r="X232" i="28"/>
  <c r="M232" i="28"/>
  <c r="M245" i="28" s="1"/>
  <c r="K232" i="28"/>
  <c r="J232" i="28"/>
  <c r="I232" i="28"/>
  <c r="F232" i="28"/>
  <c r="P232" i="28" s="1"/>
  <c r="O231" i="28"/>
  <c r="L231" i="28"/>
  <c r="F231" i="28"/>
  <c r="O229" i="28"/>
  <c r="L229" i="28"/>
  <c r="F229" i="28"/>
  <c r="O228" i="28"/>
  <c r="O245" i="28" s="1"/>
  <c r="L228" i="28"/>
  <c r="F228" i="28"/>
  <c r="N225" i="28"/>
  <c r="H225" i="28"/>
  <c r="G225" i="28"/>
  <c r="E225" i="28"/>
  <c r="X223" i="28"/>
  <c r="K223" i="28"/>
  <c r="L223" i="28" s="1"/>
  <c r="Y223" i="28" s="1"/>
  <c r="F223" i="28"/>
  <c r="E223" i="28"/>
  <c r="X222" i="28"/>
  <c r="L222" i="28"/>
  <c r="Y222" i="28" s="1"/>
  <c r="F222" i="28"/>
  <c r="X221" i="28"/>
  <c r="L221" i="28"/>
  <c r="Y221" i="28" s="1"/>
  <c r="F221" i="28"/>
  <c r="Y220" i="28"/>
  <c r="X220" i="28"/>
  <c r="E220" i="28"/>
  <c r="X219" i="28"/>
  <c r="P219" i="28"/>
  <c r="M219" i="28"/>
  <c r="K219" i="28"/>
  <c r="J219" i="28"/>
  <c r="I219" i="28"/>
  <c r="F219" i="28"/>
  <c r="X218" i="28"/>
  <c r="M218" i="28"/>
  <c r="K218" i="28"/>
  <c r="J218" i="28"/>
  <c r="I218" i="28"/>
  <c r="F218" i="28"/>
  <c r="P218" i="28" s="1"/>
  <c r="C218" i="28"/>
  <c r="Y217" i="28"/>
  <c r="X217" i="28"/>
  <c r="M217" i="28"/>
  <c r="L217" i="28"/>
  <c r="F217" i="28"/>
  <c r="C217" i="28"/>
  <c r="P217" i="28" s="1"/>
  <c r="Y216" i="28"/>
  <c r="X216" i="28"/>
  <c r="M216" i="28"/>
  <c r="L216" i="28"/>
  <c r="F216" i="28"/>
  <c r="P216" i="28" s="1"/>
  <c r="C216" i="28"/>
  <c r="X215" i="28"/>
  <c r="M215" i="28"/>
  <c r="L215" i="28"/>
  <c r="Y215" i="28" s="1"/>
  <c r="F215" i="28"/>
  <c r="D215" i="28"/>
  <c r="D225" i="28" s="1"/>
  <c r="C215" i="28"/>
  <c r="P215" i="28" s="1"/>
  <c r="Y214" i="28"/>
  <c r="X214" i="28"/>
  <c r="P214" i="28"/>
  <c r="M214" i="28"/>
  <c r="L214" i="28"/>
  <c r="F214" i="28"/>
  <c r="X213" i="28"/>
  <c r="M213" i="28"/>
  <c r="L213" i="28"/>
  <c r="Y213" i="28" s="1"/>
  <c r="F213" i="28"/>
  <c r="P213" i="28" s="1"/>
  <c r="Y212" i="28"/>
  <c r="X212" i="28"/>
  <c r="P212" i="28"/>
  <c r="M212" i="28"/>
  <c r="L212" i="28"/>
  <c r="F212" i="28"/>
  <c r="X211" i="28"/>
  <c r="M211" i="28"/>
  <c r="K211" i="28"/>
  <c r="J211" i="28"/>
  <c r="I211" i="28"/>
  <c r="F211" i="28"/>
  <c r="P211" i="28" s="1"/>
  <c r="X210" i="28"/>
  <c r="M210" i="28"/>
  <c r="M225" i="28" s="1"/>
  <c r="K210" i="28"/>
  <c r="J210" i="28"/>
  <c r="I210" i="28"/>
  <c r="F210" i="28"/>
  <c r="C210" i="28"/>
  <c r="P210" i="28" s="1"/>
  <c r="X209" i="28"/>
  <c r="O209" i="28"/>
  <c r="L209" i="28"/>
  <c r="Y209" i="28" s="1"/>
  <c r="F209" i="28"/>
  <c r="O207" i="28"/>
  <c r="L207" i="28"/>
  <c r="F207" i="28"/>
  <c r="O206" i="28"/>
  <c r="O225" i="28" s="1"/>
  <c r="K206" i="28"/>
  <c r="J206" i="28"/>
  <c r="I206" i="28"/>
  <c r="F206" i="28"/>
  <c r="F225" i="28" s="1"/>
  <c r="O203" i="28"/>
  <c r="N203" i="28"/>
  <c r="H203" i="28"/>
  <c r="G203" i="28"/>
  <c r="E203" i="28"/>
  <c r="D203" i="28"/>
  <c r="X201" i="28"/>
  <c r="M201" i="28"/>
  <c r="K201" i="28"/>
  <c r="L201" i="28" s="1"/>
  <c r="Y201" i="28" s="1"/>
  <c r="F201" i="28"/>
  <c r="P201" i="28" s="1"/>
  <c r="Y200" i="28"/>
  <c r="X200" i="28"/>
  <c r="P200" i="28"/>
  <c r="M200" i="28"/>
  <c r="L200" i="28"/>
  <c r="F200" i="28"/>
  <c r="E200" i="28"/>
  <c r="Y199" i="28"/>
  <c r="X199" i="28"/>
  <c r="M199" i="28"/>
  <c r="E199" i="28"/>
  <c r="P199" i="28" s="1"/>
  <c r="X198" i="28"/>
  <c r="P198" i="28"/>
  <c r="M198" i="28"/>
  <c r="K198" i="28"/>
  <c r="J198" i="28"/>
  <c r="I198" i="28"/>
  <c r="F198" i="28"/>
  <c r="X197" i="28"/>
  <c r="P197" i="28"/>
  <c r="M197" i="28"/>
  <c r="K197" i="28"/>
  <c r="J197" i="28"/>
  <c r="I197" i="28"/>
  <c r="F197" i="28"/>
  <c r="C197" i="28"/>
  <c r="X196" i="28"/>
  <c r="P196" i="28"/>
  <c r="M196" i="28"/>
  <c r="L196" i="28"/>
  <c r="Y196" i="28" s="1"/>
  <c r="F196" i="28"/>
  <c r="C196" i="28"/>
  <c r="X195" i="28"/>
  <c r="M195" i="28"/>
  <c r="K195" i="28"/>
  <c r="J195" i="28"/>
  <c r="I195" i="28"/>
  <c r="F195" i="28"/>
  <c r="C195" i="28"/>
  <c r="P195" i="28" s="1"/>
  <c r="Y194" i="28"/>
  <c r="X194" i="28"/>
  <c r="P194" i="28"/>
  <c r="M194" i="28"/>
  <c r="L194" i="28"/>
  <c r="F194" i="28"/>
  <c r="C194" i="28"/>
  <c r="X193" i="28"/>
  <c r="P193" i="28"/>
  <c r="M193" i="28"/>
  <c r="L193" i="28"/>
  <c r="Y193" i="28" s="1"/>
  <c r="F193" i="28"/>
  <c r="C193" i="28"/>
  <c r="Y192" i="28"/>
  <c r="X192" i="28"/>
  <c r="P192" i="28"/>
  <c r="M192" i="28"/>
  <c r="L192" i="28"/>
  <c r="F192" i="28"/>
  <c r="X191" i="28"/>
  <c r="P191" i="28"/>
  <c r="M191" i="28"/>
  <c r="L191" i="28"/>
  <c r="Y191" i="28" s="1"/>
  <c r="F191" i="28"/>
  <c r="Y190" i="28"/>
  <c r="X190" i="28"/>
  <c r="P190" i="28"/>
  <c r="M190" i="28"/>
  <c r="L190" i="28"/>
  <c r="F190" i="28"/>
  <c r="X189" i="28"/>
  <c r="P189" i="28"/>
  <c r="M189" i="28"/>
  <c r="K189" i="28"/>
  <c r="J189" i="28"/>
  <c r="I189" i="28"/>
  <c r="F189" i="28"/>
  <c r="C189" i="28"/>
  <c r="X188" i="28"/>
  <c r="M188" i="28"/>
  <c r="L188" i="28"/>
  <c r="Y188" i="28" s="1"/>
  <c r="F188" i="28"/>
  <c r="C188" i="28"/>
  <c r="C203" i="28" s="1"/>
  <c r="Y187" i="28"/>
  <c r="X187" i="28"/>
  <c r="P187" i="28"/>
  <c r="X186" i="28"/>
  <c r="M186" i="28"/>
  <c r="L186" i="28"/>
  <c r="Y186" i="28" s="1"/>
  <c r="F186" i="28"/>
  <c r="P186" i="28" s="1"/>
  <c r="X185" i="28"/>
  <c r="P185" i="28"/>
  <c r="M185" i="28"/>
  <c r="M203" i="28" s="1"/>
  <c r="L185" i="28"/>
  <c r="Y185" i="28" s="1"/>
  <c r="F185" i="28"/>
  <c r="X184" i="28"/>
  <c r="M184" i="28"/>
  <c r="L184" i="28"/>
  <c r="Y184" i="28" s="1"/>
  <c r="F184" i="28"/>
  <c r="P184" i="28" s="1"/>
  <c r="N181" i="28"/>
  <c r="H181" i="28"/>
  <c r="G181" i="28"/>
  <c r="E181" i="28"/>
  <c r="D181" i="28"/>
  <c r="Y179" i="28"/>
  <c r="X179" i="28"/>
  <c r="P179" i="28"/>
  <c r="M179" i="28"/>
  <c r="E179" i="28"/>
  <c r="X178" i="28"/>
  <c r="M178" i="28"/>
  <c r="K178" i="28"/>
  <c r="J178" i="28"/>
  <c r="I178" i="28"/>
  <c r="F178" i="28"/>
  <c r="P178" i="28" s="1"/>
  <c r="Y177" i="28"/>
  <c r="X177" i="28"/>
  <c r="M177" i="28"/>
  <c r="L177" i="28"/>
  <c r="F177" i="28"/>
  <c r="C177" i="28"/>
  <c r="P177" i="28" s="1"/>
  <c r="Y176" i="28"/>
  <c r="X176" i="28"/>
  <c r="M176" i="28"/>
  <c r="L176" i="28"/>
  <c r="F176" i="28"/>
  <c r="P176" i="28" s="1"/>
  <c r="X175" i="28"/>
  <c r="M175" i="28"/>
  <c r="K175" i="28"/>
  <c r="J175" i="28"/>
  <c r="I175" i="28"/>
  <c r="F175" i="28"/>
  <c r="C175" i="28"/>
  <c r="P175" i="28" s="1"/>
  <c r="X174" i="28"/>
  <c r="M174" i="28"/>
  <c r="L174" i="28"/>
  <c r="Y174" i="28" s="1"/>
  <c r="F174" i="28"/>
  <c r="C174" i="28"/>
  <c r="P174" i="28" s="1"/>
  <c r="X173" i="28"/>
  <c r="P173" i="28"/>
  <c r="M173" i="28"/>
  <c r="K173" i="28"/>
  <c r="J173" i="28"/>
  <c r="I173" i="28"/>
  <c r="F173" i="28"/>
  <c r="C173" i="28"/>
  <c r="X172" i="28"/>
  <c r="O172" i="28"/>
  <c r="M172" i="28"/>
  <c r="L172" i="28"/>
  <c r="Y172" i="28" s="1"/>
  <c r="F172" i="28"/>
  <c r="P172" i="28" s="1"/>
  <c r="X171" i="28"/>
  <c r="O171" i="28"/>
  <c r="M171" i="28" s="1"/>
  <c r="L171" i="28"/>
  <c r="Y171" i="28" s="1"/>
  <c r="F171" i="28"/>
  <c r="P171" i="28" s="1"/>
  <c r="X170" i="28"/>
  <c r="P170" i="28"/>
  <c r="K170" i="28"/>
  <c r="J170" i="28"/>
  <c r="I170" i="28"/>
  <c r="F170" i="28"/>
  <c r="X169" i="28"/>
  <c r="M169" i="28"/>
  <c r="K169" i="28"/>
  <c r="J169" i="28"/>
  <c r="I169" i="28"/>
  <c r="F169" i="28"/>
  <c r="P169" i="28" s="1"/>
  <c r="C169" i="28"/>
  <c r="X168" i="28"/>
  <c r="M168" i="28"/>
  <c r="L168" i="28"/>
  <c r="Y168" i="28" s="1"/>
  <c r="F168" i="28"/>
  <c r="F181" i="28" s="1"/>
  <c r="C168" i="28"/>
  <c r="P168" i="28" s="1"/>
  <c r="Y167" i="28"/>
  <c r="X167" i="28"/>
  <c r="O166" i="28"/>
  <c r="L166" i="28"/>
  <c r="F166" i="28"/>
  <c r="N163" i="28"/>
  <c r="H163" i="28"/>
  <c r="G163" i="28"/>
  <c r="D163" i="28"/>
  <c r="P163" i="28" s="1"/>
  <c r="C163" i="28"/>
  <c r="X161" i="28"/>
  <c r="M161" i="28"/>
  <c r="K161" i="28"/>
  <c r="J161" i="28"/>
  <c r="I161" i="28"/>
  <c r="F161" i="28"/>
  <c r="P161" i="28" s="1"/>
  <c r="Y160" i="28"/>
  <c r="X160" i="28"/>
  <c r="P160" i="28"/>
  <c r="M160" i="28"/>
  <c r="E160" i="28"/>
  <c r="E163" i="28" s="1"/>
  <c r="X159" i="28"/>
  <c r="P159" i="28"/>
  <c r="M159" i="28"/>
  <c r="K159" i="28"/>
  <c r="J159" i="28"/>
  <c r="I159" i="28"/>
  <c r="F159" i="28"/>
  <c r="X158" i="28"/>
  <c r="M158" i="28"/>
  <c r="K158" i="28"/>
  <c r="J158" i="28"/>
  <c r="I158" i="28"/>
  <c r="F158" i="28"/>
  <c r="P158" i="28" s="1"/>
  <c r="Y157" i="28"/>
  <c r="X157" i="28"/>
  <c r="O157" i="28"/>
  <c r="M157" i="28" s="1"/>
  <c r="L157" i="28"/>
  <c r="F157" i="28"/>
  <c r="P157" i="28" s="1"/>
  <c r="X156" i="28"/>
  <c r="P156" i="28"/>
  <c r="M156" i="28"/>
  <c r="K156" i="28"/>
  <c r="J156" i="28"/>
  <c r="I156" i="28"/>
  <c r="F156" i="28"/>
  <c r="X155" i="28"/>
  <c r="O155" i="28"/>
  <c r="M155" i="28"/>
  <c r="L155" i="28"/>
  <c r="Y155" i="28" s="1"/>
  <c r="F155" i="28"/>
  <c r="P155" i="28" s="1"/>
  <c r="X154" i="28"/>
  <c r="M154" i="28"/>
  <c r="K154" i="28"/>
  <c r="J154" i="28"/>
  <c r="I154" i="28"/>
  <c r="F154" i="28"/>
  <c r="P154" i="28" s="1"/>
  <c r="Y153" i="28"/>
  <c r="X153" i="28"/>
  <c r="P153" i="28"/>
  <c r="O153" i="28"/>
  <c r="M153" i="28"/>
  <c r="L153" i="28"/>
  <c r="X152" i="28"/>
  <c r="O152" i="28"/>
  <c r="M152" i="28"/>
  <c r="L152" i="28"/>
  <c r="Y152" i="28" s="1"/>
  <c r="F152" i="28"/>
  <c r="P152" i="28" s="1"/>
  <c r="X151" i="28"/>
  <c r="P151" i="28"/>
  <c r="M151" i="28"/>
  <c r="K151" i="28"/>
  <c r="J151" i="28"/>
  <c r="I151" i="28"/>
  <c r="F151" i="28"/>
  <c r="X150" i="28"/>
  <c r="P150" i="28"/>
  <c r="M150" i="28"/>
  <c r="K150" i="28"/>
  <c r="J150" i="28"/>
  <c r="I150" i="28"/>
  <c r="F150" i="28"/>
  <c r="X149" i="28"/>
  <c r="O149" i="28"/>
  <c r="L149" i="28"/>
  <c r="Y149" i="28" s="1"/>
  <c r="F149" i="28"/>
  <c r="Y148" i="28"/>
  <c r="X148" i="28"/>
  <c r="O147" i="28"/>
  <c r="O163" i="28" s="1"/>
  <c r="L147" i="28"/>
  <c r="F147" i="28"/>
  <c r="F163" i="28" s="1"/>
  <c r="O146" i="28"/>
  <c r="L146" i="28"/>
  <c r="O143" i="28"/>
  <c r="N143" i="28"/>
  <c r="H143" i="28"/>
  <c r="G143" i="28"/>
  <c r="D143" i="28"/>
  <c r="P143" i="28" s="1"/>
  <c r="C143" i="28"/>
  <c r="X141" i="28"/>
  <c r="M141" i="28"/>
  <c r="L141" i="28"/>
  <c r="Y141" i="28" s="1"/>
  <c r="Y140" i="28"/>
  <c r="X140" i="28"/>
  <c r="P140" i="28"/>
  <c r="M140" i="28"/>
  <c r="L140" i="28"/>
  <c r="X139" i="28"/>
  <c r="P139" i="28"/>
  <c r="M139" i="28"/>
  <c r="L139" i="28"/>
  <c r="Y139" i="28" s="1"/>
  <c r="Y138" i="28"/>
  <c r="X138" i="28"/>
  <c r="P138" i="28"/>
  <c r="M138" i="28"/>
  <c r="L138" i="28"/>
  <c r="X137" i="28"/>
  <c r="P137" i="28"/>
  <c r="M137" i="28"/>
  <c r="K137" i="28"/>
  <c r="J137" i="28"/>
  <c r="Y136" i="28"/>
  <c r="X136" i="28"/>
  <c r="M136" i="28"/>
  <c r="L136" i="28"/>
  <c r="E136" i="28"/>
  <c r="E143" i="28" s="1"/>
  <c r="X135" i="28"/>
  <c r="M135" i="28"/>
  <c r="K135" i="28"/>
  <c r="J135" i="28"/>
  <c r="I135" i="28"/>
  <c r="F135" i="28"/>
  <c r="P135" i="28" s="1"/>
  <c r="X134" i="28"/>
  <c r="P134" i="28"/>
  <c r="M134" i="28"/>
  <c r="K134" i="28"/>
  <c r="J134" i="28"/>
  <c r="I134" i="28"/>
  <c r="F134" i="28"/>
  <c r="X133" i="28"/>
  <c r="P133" i="28"/>
  <c r="M133" i="28"/>
  <c r="K133" i="28"/>
  <c r="J133" i="28"/>
  <c r="I133" i="28"/>
  <c r="F133" i="28"/>
  <c r="X132" i="28"/>
  <c r="M132" i="28"/>
  <c r="K132" i="28"/>
  <c r="J132" i="28"/>
  <c r="I132" i="28"/>
  <c r="F132" i="28"/>
  <c r="P132" i="28" s="1"/>
  <c r="X131" i="28"/>
  <c r="M131" i="28"/>
  <c r="K131" i="28"/>
  <c r="J131" i="28"/>
  <c r="I131" i="28"/>
  <c r="F131" i="28"/>
  <c r="P131" i="28" s="1"/>
  <c r="Y130" i="28"/>
  <c r="X130" i="28"/>
  <c r="P130" i="28"/>
  <c r="M130" i="28"/>
  <c r="L130" i="28"/>
  <c r="F130" i="28"/>
  <c r="X129" i="28"/>
  <c r="P129" i="28"/>
  <c r="M129" i="28"/>
  <c r="L129" i="28"/>
  <c r="Y129" i="28" s="1"/>
  <c r="X128" i="28"/>
  <c r="P128" i="28"/>
  <c r="M128" i="28"/>
  <c r="K128" i="28"/>
  <c r="J128" i="28"/>
  <c r="I128" i="28"/>
  <c r="F128" i="28"/>
  <c r="X127" i="28"/>
  <c r="P127" i="28"/>
  <c r="M127" i="28"/>
  <c r="M143" i="28" s="1"/>
  <c r="K127" i="28"/>
  <c r="J127" i="28"/>
  <c r="I127" i="28"/>
  <c r="X126" i="28"/>
  <c r="M126" i="28"/>
  <c r="K126" i="28"/>
  <c r="J126" i="28"/>
  <c r="I126" i="28"/>
  <c r="F126" i="28"/>
  <c r="P126" i="28" s="1"/>
  <c r="X125" i="28"/>
  <c r="M125" i="28"/>
  <c r="L125" i="28"/>
  <c r="Y125" i="28" s="1"/>
  <c r="F125" i="28"/>
  <c r="P125" i="28" s="1"/>
  <c r="Y124" i="28"/>
  <c r="X124" i="28"/>
  <c r="P124" i="28"/>
  <c r="X123" i="28"/>
  <c r="P123" i="28"/>
  <c r="M123" i="28"/>
  <c r="L123" i="28"/>
  <c r="Y123" i="28" s="1"/>
  <c r="F123" i="28"/>
  <c r="X122" i="28"/>
  <c r="M122" i="28"/>
  <c r="K122" i="28"/>
  <c r="J122" i="28"/>
  <c r="I122" i="28"/>
  <c r="F122" i="28"/>
  <c r="F143" i="28" s="1"/>
  <c r="O119" i="28"/>
  <c r="N119" i="28"/>
  <c r="H119" i="28"/>
  <c r="G119" i="28"/>
  <c r="D119" i="28"/>
  <c r="C119" i="28"/>
  <c r="X117" i="28"/>
  <c r="M117" i="28"/>
  <c r="K117" i="28"/>
  <c r="L117" i="28" s="1"/>
  <c r="Y117" i="28" s="1"/>
  <c r="F117" i="28"/>
  <c r="P117" i="28" s="1"/>
  <c r="X116" i="28"/>
  <c r="P116" i="28"/>
  <c r="M116" i="28"/>
  <c r="L116" i="28"/>
  <c r="Y116" i="28" s="1"/>
  <c r="F116" i="28"/>
  <c r="X115" i="28"/>
  <c r="M115" i="28"/>
  <c r="L115" i="28"/>
  <c r="Y115" i="28" s="1"/>
  <c r="E115" i="28"/>
  <c r="P115" i="28" s="1"/>
  <c r="X114" i="28"/>
  <c r="P114" i="28"/>
  <c r="M114" i="28"/>
  <c r="K114" i="28"/>
  <c r="J114" i="28"/>
  <c r="I114" i="28"/>
  <c r="F114" i="28"/>
  <c r="X113" i="28"/>
  <c r="P113" i="28"/>
  <c r="M113" i="28"/>
  <c r="K113" i="28"/>
  <c r="J113" i="28"/>
  <c r="I113" i="28"/>
  <c r="F113" i="28"/>
  <c r="C113" i="28"/>
  <c r="X112" i="28"/>
  <c r="M112" i="28"/>
  <c r="K112" i="28"/>
  <c r="J112" i="28"/>
  <c r="I112" i="28"/>
  <c r="F112" i="28"/>
  <c r="P112" i="28" s="1"/>
  <c r="X111" i="28"/>
  <c r="M111" i="28"/>
  <c r="K111" i="28"/>
  <c r="J111" i="28"/>
  <c r="I111" i="28"/>
  <c r="F111" i="28"/>
  <c r="P111" i="28" s="1"/>
  <c r="X110" i="28"/>
  <c r="P110" i="28"/>
  <c r="M110" i="28"/>
  <c r="K110" i="28"/>
  <c r="J110" i="28"/>
  <c r="I110" i="28"/>
  <c r="F110" i="28"/>
  <c r="X109" i="28"/>
  <c r="P109" i="28"/>
  <c r="M109" i="28"/>
  <c r="K109" i="28"/>
  <c r="J109" i="28"/>
  <c r="I109" i="28"/>
  <c r="F109" i="28"/>
  <c r="X108" i="28"/>
  <c r="M108" i="28"/>
  <c r="L108" i="28"/>
  <c r="Y108" i="28" s="1"/>
  <c r="F108" i="28"/>
  <c r="P108" i="28" s="1"/>
  <c r="X107" i="28"/>
  <c r="P107" i="28"/>
  <c r="M107" i="28"/>
  <c r="K107" i="28"/>
  <c r="J107" i="28"/>
  <c r="I107" i="28"/>
  <c r="F107" i="28"/>
  <c r="X106" i="28"/>
  <c r="P106" i="28"/>
  <c r="M106" i="28"/>
  <c r="K106" i="28"/>
  <c r="J106" i="28"/>
  <c r="I106" i="28"/>
  <c r="F106" i="28"/>
  <c r="X105" i="28"/>
  <c r="M105" i="28"/>
  <c r="K105" i="28"/>
  <c r="J105" i="28"/>
  <c r="I105" i="28"/>
  <c r="F105" i="28"/>
  <c r="P105" i="28" s="1"/>
  <c r="X104" i="28"/>
  <c r="M104" i="28"/>
  <c r="K104" i="28"/>
  <c r="J104" i="28"/>
  <c r="I104" i="28"/>
  <c r="F104" i="28"/>
  <c r="P104" i="28" s="1"/>
  <c r="Y103" i="28"/>
  <c r="X103" i="28"/>
  <c r="P103" i="28"/>
  <c r="Y102" i="28"/>
  <c r="X102" i="28"/>
  <c r="P102" i="28"/>
  <c r="M102" i="28"/>
  <c r="L102" i="28"/>
  <c r="F102" i="28"/>
  <c r="X101" i="28"/>
  <c r="P101" i="28"/>
  <c r="M101" i="28"/>
  <c r="K101" i="28"/>
  <c r="J101" i="28"/>
  <c r="I101" i="28"/>
  <c r="F101" i="28"/>
  <c r="X100" i="28"/>
  <c r="M100" i="28"/>
  <c r="K100" i="28"/>
  <c r="J100" i="28"/>
  <c r="I100" i="28"/>
  <c r="F100" i="28"/>
  <c r="P100" i="28" s="1"/>
  <c r="X99" i="28"/>
  <c r="M99" i="28"/>
  <c r="K99" i="28"/>
  <c r="J99" i="28"/>
  <c r="I99" i="28"/>
  <c r="F99" i="28"/>
  <c r="P99" i="28" s="1"/>
  <c r="X98" i="28"/>
  <c r="P98" i="28"/>
  <c r="M98" i="28"/>
  <c r="M119" i="28" s="1"/>
  <c r="K98" i="28"/>
  <c r="J98" i="28"/>
  <c r="I98" i="28"/>
  <c r="F98" i="28"/>
  <c r="O95" i="28"/>
  <c r="N95" i="28"/>
  <c r="J95" i="28"/>
  <c r="I95" i="28"/>
  <c r="H95" i="28"/>
  <c r="G95" i="28"/>
  <c r="E95" i="28"/>
  <c r="D95" i="28"/>
  <c r="C95" i="28"/>
  <c r="P95" i="28" s="1"/>
  <c r="X93" i="28"/>
  <c r="P93" i="28"/>
  <c r="M93" i="28"/>
  <c r="L93" i="28"/>
  <c r="Y93" i="28" s="1"/>
  <c r="X92" i="28"/>
  <c r="P92" i="28"/>
  <c r="M92" i="28"/>
  <c r="L92" i="28"/>
  <c r="Y92" i="28" s="1"/>
  <c r="X91" i="28"/>
  <c r="M91" i="28"/>
  <c r="K91" i="28"/>
  <c r="L91" i="28" s="1"/>
  <c r="Y91" i="28" s="1"/>
  <c r="F91" i="28"/>
  <c r="P91" i="28" s="1"/>
  <c r="X90" i="28"/>
  <c r="M90" i="28"/>
  <c r="K90" i="28"/>
  <c r="L90" i="28" s="1"/>
  <c r="Y90" i="28" s="1"/>
  <c r="F90" i="28"/>
  <c r="P90" i="28" s="1"/>
  <c r="X89" i="28"/>
  <c r="P89" i="28"/>
  <c r="M89" i="28"/>
  <c r="K89" i="28"/>
  <c r="L89" i="28" s="1"/>
  <c r="Y89" i="28" s="1"/>
  <c r="F89" i="28"/>
  <c r="X88" i="28"/>
  <c r="M88" i="28"/>
  <c r="K88" i="28"/>
  <c r="L88" i="28" s="1"/>
  <c r="Y88" i="28" s="1"/>
  <c r="F88" i="28"/>
  <c r="P88" i="28" s="1"/>
  <c r="Y87" i="28"/>
  <c r="X87" i="28"/>
  <c r="P87" i="28"/>
  <c r="M87" i="28"/>
  <c r="L87" i="28"/>
  <c r="X86" i="28"/>
  <c r="P86" i="28"/>
  <c r="M86" i="28"/>
  <c r="L86" i="28"/>
  <c r="Y86" i="28" s="1"/>
  <c r="X85" i="28"/>
  <c r="P85" i="28"/>
  <c r="M85" i="28"/>
  <c r="K85" i="28"/>
  <c r="L85" i="28" s="1"/>
  <c r="Y85" i="28" s="1"/>
  <c r="X84" i="28"/>
  <c r="M84" i="28"/>
  <c r="L84" i="28"/>
  <c r="Y84" i="28" s="1"/>
  <c r="F84" i="28"/>
  <c r="P84" i="28" s="1"/>
  <c r="X83" i="28"/>
  <c r="P83" i="28"/>
  <c r="M83" i="28"/>
  <c r="K83" i="28"/>
  <c r="L83" i="28" s="1"/>
  <c r="Y83" i="28" s="1"/>
  <c r="F83" i="28"/>
  <c r="Y82" i="28"/>
  <c r="X82" i="28"/>
  <c r="P82" i="28"/>
  <c r="M82" i="28"/>
  <c r="Y81" i="28"/>
  <c r="X81" i="28"/>
  <c r="M81" i="28"/>
  <c r="L81" i="28"/>
  <c r="F81" i="28"/>
  <c r="P81" i="28" s="1"/>
  <c r="X80" i="28"/>
  <c r="M80" i="28"/>
  <c r="L80" i="28"/>
  <c r="Y80" i="28" s="1"/>
  <c r="F80" i="28"/>
  <c r="P80" i="28" s="1"/>
  <c r="X79" i="28"/>
  <c r="P79" i="28"/>
  <c r="M79" i="28"/>
  <c r="M95" i="28" s="1"/>
  <c r="K79" i="28"/>
  <c r="F79" i="28"/>
  <c r="F95" i="28" s="1"/>
  <c r="O76" i="28"/>
  <c r="N76" i="28"/>
  <c r="I76" i="28"/>
  <c r="H76" i="28"/>
  <c r="G76" i="28"/>
  <c r="F76" i="28"/>
  <c r="E76" i="28"/>
  <c r="C76" i="28"/>
  <c r="X74" i="28"/>
  <c r="P74" i="28"/>
  <c r="M74" i="28"/>
  <c r="K74" i="28"/>
  <c r="J74" i="28"/>
  <c r="D74" i="28"/>
  <c r="X73" i="28"/>
  <c r="M73" i="28"/>
  <c r="K73" i="28"/>
  <c r="J73" i="28"/>
  <c r="F73" i="28"/>
  <c r="D73" i="28"/>
  <c r="D76" i="28" s="1"/>
  <c r="P76" i="28" s="1"/>
  <c r="X72" i="28"/>
  <c r="P72" i="28"/>
  <c r="M72" i="28"/>
  <c r="K72" i="28"/>
  <c r="J72" i="28"/>
  <c r="X71" i="28"/>
  <c r="P71" i="28"/>
  <c r="M71" i="28"/>
  <c r="K71" i="28"/>
  <c r="J71" i="28"/>
  <c r="X70" i="28"/>
  <c r="M70" i="28"/>
  <c r="M76" i="28" s="1"/>
  <c r="K70" i="28"/>
  <c r="J70" i="28"/>
  <c r="F70" i="28"/>
  <c r="P70" i="28" s="1"/>
  <c r="O67" i="28"/>
  <c r="N67" i="28"/>
  <c r="N336" i="28" s="1"/>
  <c r="N440" i="28" s="1"/>
  <c r="I67" i="28"/>
  <c r="H67" i="28"/>
  <c r="H336" i="28" s="1"/>
  <c r="G67" i="28"/>
  <c r="G336" i="28" s="1"/>
  <c r="E67" i="28"/>
  <c r="D67" i="28"/>
  <c r="D336" i="28" s="1"/>
  <c r="C67" i="28"/>
  <c r="X65" i="28"/>
  <c r="P65" i="28"/>
  <c r="M65" i="28"/>
  <c r="L65" i="28"/>
  <c r="Y65" i="28" s="1"/>
  <c r="K65" i="28"/>
  <c r="J65" i="28"/>
  <c r="X64" i="28"/>
  <c r="P64" i="28"/>
  <c r="M64" i="28"/>
  <c r="K64" i="28"/>
  <c r="J64" i="28"/>
  <c r="X63" i="28"/>
  <c r="P63" i="28"/>
  <c r="M63" i="28"/>
  <c r="L63" i="28"/>
  <c r="Y63" i="28" s="1"/>
  <c r="E63" i="28"/>
  <c r="X62" i="28"/>
  <c r="P62" i="28"/>
  <c r="M62" i="28"/>
  <c r="K62" i="28"/>
  <c r="J62" i="28"/>
  <c r="X61" i="28"/>
  <c r="M61" i="28"/>
  <c r="K61" i="28"/>
  <c r="J61" i="28"/>
  <c r="F61" i="28"/>
  <c r="P61" i="28" s="1"/>
  <c r="X60" i="28"/>
  <c r="P60" i="28"/>
  <c r="M60" i="28"/>
  <c r="K60" i="28"/>
  <c r="J60" i="28"/>
  <c r="F60" i="28"/>
  <c r="X59" i="28"/>
  <c r="P59" i="28"/>
  <c r="M59" i="28"/>
  <c r="K59" i="28"/>
  <c r="J59" i="28"/>
  <c r="F59" i="28"/>
  <c r="X58" i="28"/>
  <c r="P58" i="28"/>
  <c r="M58" i="28"/>
  <c r="K58" i="28"/>
  <c r="J58" i="28"/>
  <c r="X57" i="28"/>
  <c r="P57" i="28"/>
  <c r="M57" i="28"/>
  <c r="K57" i="28"/>
  <c r="J57" i="28"/>
  <c r="X56" i="28"/>
  <c r="P56" i="28"/>
  <c r="M56" i="28"/>
  <c r="K56" i="28"/>
  <c r="J56" i="28"/>
  <c r="X55" i="28"/>
  <c r="M55" i="28"/>
  <c r="K55" i="28"/>
  <c r="J55" i="28"/>
  <c r="F55" i="28"/>
  <c r="P55" i="28" s="1"/>
  <c r="X54" i="28"/>
  <c r="P54" i="28"/>
  <c r="M54" i="28"/>
  <c r="K54" i="28"/>
  <c r="J54" i="28"/>
  <c r="X53" i="28"/>
  <c r="P53" i="28"/>
  <c r="M53" i="28"/>
  <c r="K53" i="28"/>
  <c r="J53" i="28"/>
  <c r="X52" i="28"/>
  <c r="P52" i="28"/>
  <c r="M52" i="28"/>
  <c r="K52" i="28"/>
  <c r="J52" i="28"/>
  <c r="P51" i="28"/>
  <c r="X50" i="28"/>
  <c r="M50" i="28"/>
  <c r="M67" i="28" s="1"/>
  <c r="K50" i="28"/>
  <c r="J50" i="28"/>
  <c r="F50" i="28"/>
  <c r="F67" i="28" s="1"/>
  <c r="O47" i="28"/>
  <c r="N47" i="28"/>
  <c r="I47" i="28"/>
  <c r="H47" i="28"/>
  <c r="G47" i="28"/>
  <c r="F47" i="28"/>
  <c r="D47" i="28"/>
  <c r="Y45" i="28"/>
  <c r="X45" i="28"/>
  <c r="P45" i="28"/>
  <c r="M45" i="28"/>
  <c r="L45" i="28"/>
  <c r="X44" i="28"/>
  <c r="P44" i="28"/>
  <c r="M44" i="28"/>
  <c r="L44" i="28"/>
  <c r="Y44" i="28" s="1"/>
  <c r="Y43" i="28"/>
  <c r="X43" i="28"/>
  <c r="P43" i="28"/>
  <c r="M43" i="28"/>
  <c r="L43" i="28"/>
  <c r="X42" i="28"/>
  <c r="M42" i="28"/>
  <c r="L42" i="28"/>
  <c r="Y42" i="28" s="1"/>
  <c r="E42" i="28"/>
  <c r="P42" i="28" s="1"/>
  <c r="X41" i="28"/>
  <c r="P41" i="28"/>
  <c r="M41" i="28"/>
  <c r="K41" i="28"/>
  <c r="J41" i="28"/>
  <c r="X40" i="28"/>
  <c r="P40" i="28"/>
  <c r="M40" i="28"/>
  <c r="K40" i="28"/>
  <c r="J40" i="28"/>
  <c r="X39" i="28"/>
  <c r="P39" i="28"/>
  <c r="M39" i="28"/>
  <c r="K39" i="28"/>
  <c r="J39" i="28"/>
  <c r="X38" i="28"/>
  <c r="P38" i="28"/>
  <c r="M38" i="28"/>
  <c r="K38" i="28"/>
  <c r="J38" i="28"/>
  <c r="F38" i="28"/>
  <c r="X37" i="28"/>
  <c r="P37" i="28"/>
  <c r="M37" i="28"/>
  <c r="K37" i="28"/>
  <c r="J37" i="28"/>
  <c r="L37" i="28" s="1"/>
  <c r="Y37" i="28" s="1"/>
  <c r="X36" i="28"/>
  <c r="P36" i="28"/>
  <c r="M36" i="28"/>
  <c r="K36" i="28"/>
  <c r="J36" i="28"/>
  <c r="X35" i="28"/>
  <c r="P35" i="28"/>
  <c r="M35" i="28"/>
  <c r="K35" i="28"/>
  <c r="J35" i="28"/>
  <c r="X34" i="28"/>
  <c r="P34" i="28"/>
  <c r="M34" i="28"/>
  <c r="K34" i="28"/>
  <c r="J34" i="28"/>
  <c r="X33" i="28"/>
  <c r="P33" i="28"/>
  <c r="M33" i="28"/>
  <c r="K33" i="28"/>
  <c r="J33" i="28"/>
  <c r="F33" i="28"/>
  <c r="X32" i="28"/>
  <c r="M32" i="28"/>
  <c r="K32" i="28"/>
  <c r="J32" i="28"/>
  <c r="C32" i="28"/>
  <c r="P32" i="28" s="1"/>
  <c r="X31" i="28"/>
  <c r="P31" i="28"/>
  <c r="M31" i="28"/>
  <c r="K31" i="28"/>
  <c r="J31" i="28"/>
  <c r="F31" i="28"/>
  <c r="C31" i="28"/>
  <c r="C47" i="28" s="1"/>
  <c r="P30" i="28"/>
  <c r="L30" i="28"/>
  <c r="X29" i="28"/>
  <c r="P29" i="28"/>
  <c r="M29" i="28"/>
  <c r="K29" i="28"/>
  <c r="J29" i="28"/>
  <c r="X28" i="28"/>
  <c r="P28" i="28"/>
  <c r="M28" i="28"/>
  <c r="M47" i="28" s="1"/>
  <c r="K28" i="28"/>
  <c r="J28" i="28"/>
  <c r="F28" i="28"/>
  <c r="O25" i="28"/>
  <c r="N25" i="28"/>
  <c r="K25" i="28"/>
  <c r="J25" i="28"/>
  <c r="I25" i="28"/>
  <c r="H25" i="28"/>
  <c r="G25" i="28"/>
  <c r="F25" i="28"/>
  <c r="E25" i="28"/>
  <c r="D25" i="28"/>
  <c r="C25" i="28"/>
  <c r="Z23" i="28"/>
  <c r="X23" i="28"/>
  <c r="M23" i="28"/>
  <c r="L23" i="28"/>
  <c r="Y23" i="28" s="1"/>
  <c r="C23" i="28"/>
  <c r="P23" i="28" s="1"/>
  <c r="Z22" i="28"/>
  <c r="Y22" i="28"/>
  <c r="X22" i="28"/>
  <c r="P22" i="28"/>
  <c r="M22" i="28"/>
  <c r="L22" i="28"/>
  <c r="Z21" i="28"/>
  <c r="X21" i="28"/>
  <c r="P21" i="28"/>
  <c r="M21" i="28"/>
  <c r="L21" i="28"/>
  <c r="Y21" i="28" s="1"/>
  <c r="Z20" i="28"/>
  <c r="Y20" i="28"/>
  <c r="X20" i="28"/>
  <c r="P20" i="28"/>
  <c r="M20" i="28"/>
  <c r="L20" i="28"/>
  <c r="Z19" i="28"/>
  <c r="X19" i="28"/>
  <c r="P19" i="28"/>
  <c r="M19" i="28"/>
  <c r="L19" i="28"/>
  <c r="Y19" i="28" s="1"/>
  <c r="Z18" i="28"/>
  <c r="Y18" i="28"/>
  <c r="X18" i="28"/>
  <c r="M18" i="28"/>
  <c r="L18" i="28"/>
  <c r="C18" i="28"/>
  <c r="P18" i="28" s="1"/>
  <c r="Z17" i="28"/>
  <c r="X17" i="28"/>
  <c r="P17" i="28"/>
  <c r="M17" i="28"/>
  <c r="L17" i="28"/>
  <c r="Y17" i="28" s="1"/>
  <c r="Z16" i="28"/>
  <c r="Y16" i="28"/>
  <c r="X16" i="28"/>
  <c r="P16" i="28"/>
  <c r="M16" i="28"/>
  <c r="L16" i="28"/>
  <c r="Z15" i="28"/>
  <c r="X15" i="28"/>
  <c r="P15" i="28"/>
  <c r="M15" i="28"/>
  <c r="L15" i="28"/>
  <c r="Y15" i="28" s="1"/>
  <c r="Z14" i="28"/>
  <c r="Y14" i="28"/>
  <c r="X14" i="28"/>
  <c r="P14" i="28"/>
  <c r="M14" i="28"/>
  <c r="L14" i="28"/>
  <c r="Z13" i="28"/>
  <c r="X13" i="28"/>
  <c r="P13" i="28"/>
  <c r="M13" i="28"/>
  <c r="L13" i="28"/>
  <c r="Y13" i="28" s="1"/>
  <c r="Z12" i="28"/>
  <c r="Y12" i="28"/>
  <c r="X12" i="28"/>
  <c r="P12" i="28"/>
  <c r="M12" i="28"/>
  <c r="L12" i="28"/>
  <c r="Z11" i="28"/>
  <c r="X11" i="28"/>
  <c r="P11" i="28"/>
  <c r="M11" i="28"/>
  <c r="L11" i="28"/>
  <c r="Y11" i="28" s="1"/>
  <c r="Z10" i="28"/>
  <c r="Y10" i="28"/>
  <c r="X10" i="28"/>
  <c r="P10" i="28"/>
  <c r="M10" i="28"/>
  <c r="L10" i="28"/>
  <c r="C10" i="28"/>
  <c r="Z9" i="28"/>
  <c r="X9" i="28"/>
  <c r="P9" i="28"/>
  <c r="M9" i="28"/>
  <c r="L9" i="28"/>
  <c r="Y9" i="28" s="1"/>
  <c r="C9" i="28"/>
  <c r="Z8" i="28"/>
  <c r="P8" i="28"/>
  <c r="Z7" i="28"/>
  <c r="X7" i="28"/>
  <c r="P7" i="28"/>
  <c r="M7" i="28"/>
  <c r="M25" i="28" s="1"/>
  <c r="L7" i="28"/>
  <c r="Y7" i="28" s="1"/>
  <c r="L358" i="28" l="1"/>
  <c r="Y358" i="28" s="1"/>
  <c r="L386" i="28"/>
  <c r="AD21" i="20"/>
  <c r="BH46" i="20"/>
  <c r="BH42" i="20"/>
  <c r="BH29" i="20"/>
  <c r="BH13" i="20"/>
  <c r="Y40" i="20"/>
  <c r="BM46" i="20"/>
  <c r="BM38" i="20"/>
  <c r="BM30" i="20"/>
  <c r="BM26" i="20"/>
  <c r="Y28" i="20"/>
  <c r="AD43" i="20"/>
  <c r="AD19" i="20"/>
  <c r="AI39" i="20"/>
  <c r="AI41" i="20"/>
  <c r="AI29" i="20"/>
  <c r="AS38" i="20"/>
  <c r="AS14" i="20"/>
  <c r="AX19" i="20"/>
  <c r="BC43" i="20"/>
  <c r="BC31" i="20"/>
  <c r="BH26" i="20"/>
  <c r="BH22" i="20"/>
  <c r="BH14" i="20"/>
  <c r="AI23" i="20"/>
  <c r="AN40" i="20"/>
  <c r="AN20" i="20"/>
  <c r="AS44" i="20"/>
  <c r="AS32" i="20"/>
  <c r="AS20" i="20"/>
  <c r="AS12" i="20"/>
  <c r="AX25" i="20"/>
  <c r="AX13" i="20"/>
  <c r="BC25" i="20"/>
  <c r="BC21" i="20"/>
  <c r="BH45" i="20"/>
  <c r="BH16" i="20"/>
  <c r="BM25" i="20"/>
  <c r="BM13" i="20"/>
  <c r="AN42" i="20"/>
  <c r="Y16" i="20"/>
  <c r="T31" i="20"/>
  <c r="AI14" i="20"/>
  <c r="AD17" i="20"/>
  <c r="AI26" i="20"/>
  <c r="T36" i="20"/>
  <c r="T14" i="14"/>
  <c r="O12" i="14"/>
  <c r="T36" i="14"/>
  <c r="BQ35" i="15"/>
  <c r="T41" i="20"/>
  <c r="T25" i="20"/>
  <c r="AN46" i="20"/>
  <c r="BM23" i="20"/>
  <c r="AD36" i="20"/>
  <c r="AD12" i="20"/>
  <c r="AX45" i="20"/>
  <c r="AX18" i="20"/>
  <c r="BC34" i="20"/>
  <c r="BC22" i="20"/>
  <c r="BH17" i="20"/>
  <c r="AD35" i="20"/>
  <c r="AS28" i="20"/>
  <c r="AS24" i="20"/>
  <c r="T15" i="20"/>
  <c r="BC13" i="20"/>
  <c r="Y46" i="20"/>
  <c r="AX39" i="20"/>
  <c r="BM36" i="20"/>
  <c r="AD14" i="14"/>
  <c r="I14" i="14"/>
  <c r="I20" i="14"/>
  <c r="AW29" i="15"/>
  <c r="AW41" i="15"/>
  <c r="AK39" i="15"/>
  <c r="AK23" i="15"/>
  <c r="AL10" i="15"/>
  <c r="AR33" i="15"/>
  <c r="BL47" i="15"/>
  <c r="AK47" i="15"/>
  <c r="AK31" i="15"/>
  <c r="AK15" i="15"/>
  <c r="AL46" i="15"/>
  <c r="L388" i="28"/>
  <c r="Y388" i="28" s="1"/>
  <c r="L56" i="28"/>
  <c r="Y56" i="28" s="1"/>
  <c r="L112" i="28"/>
  <c r="Y112" i="28" s="1"/>
  <c r="L134" i="28"/>
  <c r="Y134" i="28" s="1"/>
  <c r="L393" i="28"/>
  <c r="Y393" i="28" s="1"/>
  <c r="L169" i="28"/>
  <c r="Y169" i="28" s="1"/>
  <c r="L58" i="28"/>
  <c r="Y58" i="28" s="1"/>
  <c r="L60" i="28"/>
  <c r="Y60" i="28" s="1"/>
  <c r="L399" i="28"/>
  <c r="L99" i="28"/>
  <c r="Y99" i="28" s="1"/>
  <c r="L111" i="28"/>
  <c r="Y111" i="28" s="1"/>
  <c r="L33" i="28"/>
  <c r="Y33" i="28" s="1"/>
  <c r="L40" i="28"/>
  <c r="Y40" i="28" s="1"/>
  <c r="L50" i="28"/>
  <c r="Y50" i="28" s="1"/>
  <c r="L72" i="28"/>
  <c r="Y72" i="28" s="1"/>
  <c r="L74" i="28"/>
  <c r="Y74" i="28" s="1"/>
  <c r="AK45" i="15"/>
  <c r="AK37" i="15"/>
  <c r="AK29" i="15"/>
  <c r="AK21" i="15"/>
  <c r="AK43" i="15"/>
  <c r="AK35" i="15"/>
  <c r="AK27" i="15"/>
  <c r="AK19" i="15"/>
  <c r="AK41" i="15"/>
  <c r="AK33" i="15"/>
  <c r="AK25" i="15"/>
  <c r="AK17" i="15"/>
  <c r="AL13" i="15"/>
  <c r="AL44" i="15"/>
  <c r="AL36" i="15"/>
  <c r="AL28" i="15"/>
  <c r="AL20" i="15"/>
  <c r="AL21" i="15"/>
  <c r="AK13" i="15"/>
  <c r="AL43" i="15"/>
  <c r="AL35" i="15"/>
  <c r="AL27" i="15"/>
  <c r="AL19" i="15"/>
  <c r="BG38" i="15"/>
  <c r="AL38" i="15"/>
  <c r="AL37" i="15"/>
  <c r="AL42" i="15"/>
  <c r="AL34" i="15"/>
  <c r="AL26" i="15"/>
  <c r="AL18" i="15"/>
  <c r="AL22" i="15"/>
  <c r="AL29" i="15"/>
  <c r="AL41" i="15"/>
  <c r="AL33" i="15"/>
  <c r="AL25" i="15"/>
  <c r="AL17" i="15"/>
  <c r="AL30" i="15"/>
  <c r="AL45" i="15"/>
  <c r="AL12" i="15"/>
  <c r="AL40" i="15"/>
  <c r="AL32" i="15"/>
  <c r="AL24" i="15"/>
  <c r="AL16" i="15"/>
  <c r="AL14" i="15"/>
  <c r="AL47" i="15"/>
  <c r="AL39" i="15"/>
  <c r="AL31" i="15"/>
  <c r="AL23" i="15"/>
  <c r="AL15" i="15"/>
  <c r="L426" i="28"/>
  <c r="Y426" i="28" s="1"/>
  <c r="L360" i="28"/>
  <c r="Y360" i="28" s="1"/>
  <c r="L392" i="28"/>
  <c r="Y392" i="28" s="1"/>
  <c r="L151" i="28"/>
  <c r="Y151" i="28" s="1"/>
  <c r="L159" i="28"/>
  <c r="Y159" i="28" s="1"/>
  <c r="L35" i="28"/>
  <c r="Y35" i="28" s="1"/>
  <c r="L114" i="28"/>
  <c r="Y114" i="28" s="1"/>
  <c r="L352" i="28"/>
  <c r="Y352" i="28" s="1"/>
  <c r="L53" i="28"/>
  <c r="Y53" i="28" s="1"/>
  <c r="L122" i="28"/>
  <c r="Y122" i="28" s="1"/>
  <c r="L402" i="28"/>
  <c r="Y402" i="28" s="1"/>
  <c r="L107" i="28"/>
  <c r="Y107" i="28" s="1"/>
  <c r="L391" i="28"/>
  <c r="Y391" i="28" s="1"/>
  <c r="L113" i="28"/>
  <c r="Y113" i="28" s="1"/>
  <c r="L36" i="28"/>
  <c r="Y36" i="28" s="1"/>
  <c r="L270" i="28"/>
  <c r="L31" i="28"/>
  <c r="Y31" i="28" s="1"/>
  <c r="L38" i="28"/>
  <c r="Y38" i="28" s="1"/>
  <c r="O26" i="20"/>
  <c r="Y43" i="20"/>
  <c r="Y13" i="20"/>
  <c r="AI43" i="20"/>
  <c r="AN32" i="20"/>
  <c r="AN26" i="20"/>
  <c r="BC17" i="20"/>
  <c r="BH41" i="20"/>
  <c r="BH28" i="20"/>
  <c r="T12" i="20"/>
  <c r="O40" i="20"/>
  <c r="AX21" i="20"/>
  <c r="BC39" i="20"/>
  <c r="BC33" i="20"/>
  <c r="BH39" i="20"/>
  <c r="BM41" i="20"/>
  <c r="BM35" i="20"/>
  <c r="AN36" i="20"/>
  <c r="AN13" i="20"/>
  <c r="AS31" i="20"/>
  <c r="BC15" i="20"/>
  <c r="BH21" i="20"/>
  <c r="AI17" i="20"/>
  <c r="AI12" i="20"/>
  <c r="AN11" i="20"/>
  <c r="AN12" i="20"/>
  <c r="AS42" i="20"/>
  <c r="AS36" i="20"/>
  <c r="AX31" i="20"/>
  <c r="BC20" i="20"/>
  <c r="AD39" i="20"/>
  <c r="O28" i="20"/>
  <c r="O12" i="20"/>
  <c r="T27" i="20"/>
  <c r="AI15" i="20"/>
  <c r="BC19" i="20"/>
  <c r="T37" i="20"/>
  <c r="AN16" i="20"/>
  <c r="BH18" i="20"/>
  <c r="AD27" i="20"/>
  <c r="AD15" i="20"/>
  <c r="AN24" i="20"/>
  <c r="BC27" i="20"/>
  <c r="BH34" i="20"/>
  <c r="T20" i="20"/>
  <c r="AD44" i="20"/>
  <c r="AD38" i="20"/>
  <c r="AI45" i="20"/>
  <c r="AX20" i="20"/>
  <c r="AD20" i="20"/>
  <c r="AI33" i="20"/>
  <c r="AI27" i="20"/>
  <c r="AN29" i="20"/>
  <c r="AN23" i="20"/>
  <c r="AX37" i="20"/>
  <c r="AD25" i="20"/>
  <c r="AN22" i="20"/>
  <c r="BC37" i="20"/>
  <c r="BH32" i="20"/>
  <c r="AS46" i="20"/>
  <c r="AD30" i="20"/>
  <c r="AI37" i="20"/>
  <c r="AI19" i="20"/>
  <c r="AN21" i="20"/>
  <c r="AS22" i="20"/>
  <c r="BH20" i="20"/>
  <c r="H23" i="20"/>
  <c r="AI42" i="20"/>
  <c r="AI13" i="20"/>
  <c r="AX29" i="20"/>
  <c r="AX23" i="20"/>
  <c r="BC41" i="20"/>
  <c r="BC35" i="20"/>
  <c r="BH43" i="20"/>
  <c r="BM39" i="20"/>
  <c r="BM27" i="20"/>
  <c r="T40" i="20"/>
  <c r="Y35" i="20"/>
  <c r="Y29" i="20"/>
  <c r="Y23" i="20"/>
  <c r="AD40" i="20"/>
  <c r="AD23" i="20"/>
  <c r="AI30" i="20"/>
  <c r="AN44" i="20"/>
  <c r="AN38" i="20"/>
  <c r="AN14" i="20"/>
  <c r="BC29" i="20"/>
  <c r="BC23" i="20"/>
  <c r="BH36" i="20"/>
  <c r="AI11" i="20"/>
  <c r="BH11" i="20"/>
  <c r="T21" i="20"/>
  <c r="BC45" i="20"/>
  <c r="BH12" i="20"/>
  <c r="BM37" i="20"/>
  <c r="O38" i="20"/>
  <c r="O22" i="20"/>
  <c r="O14" i="20"/>
  <c r="T43" i="20"/>
  <c r="T14" i="20"/>
  <c r="Y44" i="20"/>
  <c r="Y32" i="20"/>
  <c r="Y26" i="20"/>
  <c r="Y14" i="20"/>
  <c r="AI35" i="20"/>
  <c r="AI24" i="20"/>
  <c r="AN45" i="20"/>
  <c r="AS16" i="20"/>
  <c r="AX42" i="20"/>
  <c r="AX15" i="20"/>
  <c r="BH44" i="20"/>
  <c r="BH38" i="20"/>
  <c r="BH33" i="20"/>
  <c r="BM43" i="20"/>
  <c r="BM21" i="20"/>
  <c r="BM15" i="20"/>
  <c r="T19" i="20"/>
  <c r="T13" i="20"/>
  <c r="AD32" i="20"/>
  <c r="AN34" i="20"/>
  <c r="AS37" i="20"/>
  <c r="AS26" i="20"/>
  <c r="AS21" i="20"/>
  <c r="AS15" i="20"/>
  <c r="AX46" i="20"/>
  <c r="AX41" i="20"/>
  <c r="AX14" i="20"/>
  <c r="BC44" i="20"/>
  <c r="BH37" i="20"/>
  <c r="BH40" i="20"/>
  <c r="BM31" i="20"/>
  <c r="BM14" i="20"/>
  <c r="O44" i="20"/>
  <c r="T24" i="20"/>
  <c r="AD42" i="20"/>
  <c r="AD31" i="20"/>
  <c r="AD14" i="20"/>
  <c r="AN28" i="20"/>
  <c r="I35" i="20"/>
  <c r="T29" i="20"/>
  <c r="Y42" i="20"/>
  <c r="Y24" i="20"/>
  <c r="Y18" i="20"/>
  <c r="Y12" i="20"/>
  <c r="AD41" i="20"/>
  <c r="AS30" i="20"/>
  <c r="BM19" i="20"/>
  <c r="AD24" i="20"/>
  <c r="BH30" i="20"/>
  <c r="BH25" i="20"/>
  <c r="BM29" i="20"/>
  <c r="BC32" i="20"/>
  <c r="T45" i="20"/>
  <c r="T33" i="20"/>
  <c r="T28" i="20"/>
  <c r="T16" i="20"/>
  <c r="AD18" i="20"/>
  <c r="AI32" i="20"/>
  <c r="AI21" i="20"/>
  <c r="AS40" i="20"/>
  <c r="AS35" i="20"/>
  <c r="AS13" i="20"/>
  <c r="AX44" i="20"/>
  <c r="AX33" i="20"/>
  <c r="BH19" i="20"/>
  <c r="BM12" i="20"/>
  <c r="H45" i="20"/>
  <c r="AS18" i="20"/>
  <c r="AX38" i="20"/>
  <c r="AX22" i="20"/>
  <c r="AX17" i="20"/>
  <c r="BH24" i="20"/>
  <c r="BM45" i="20"/>
  <c r="BM34" i="20"/>
  <c r="BM17" i="20"/>
  <c r="O16" i="20"/>
  <c r="H21" i="20"/>
  <c r="AD34" i="20"/>
  <c r="AD28" i="20"/>
  <c r="AI31" i="20"/>
  <c r="AN25" i="20"/>
  <c r="AS45" i="20"/>
  <c r="AS39" i="20"/>
  <c r="AS34" i="20"/>
  <c r="AX27" i="20"/>
  <c r="T44" i="20"/>
  <c r="T32" i="20"/>
  <c r="Y45" i="20"/>
  <c r="Y39" i="20"/>
  <c r="Y27" i="20"/>
  <c r="Y15" i="20"/>
  <c r="AD16" i="20"/>
  <c r="AI25" i="20"/>
  <c r="AN30" i="20"/>
  <c r="BC46" i="20"/>
  <c r="BM33" i="20"/>
  <c r="I44" i="14"/>
  <c r="AI42" i="14"/>
  <c r="I26" i="14"/>
  <c r="I32" i="14"/>
  <c r="T24" i="14"/>
  <c r="I38" i="14"/>
  <c r="T30" i="14"/>
  <c r="I43" i="14"/>
  <c r="I45" i="14"/>
  <c r="I39" i="14"/>
  <c r="I33" i="14"/>
  <c r="I27" i="14"/>
  <c r="I21" i="14"/>
  <c r="I15" i="14"/>
  <c r="I10" i="14"/>
  <c r="AD31" i="14"/>
  <c r="I25" i="14"/>
  <c r="I12" i="14"/>
  <c r="I42" i="14"/>
  <c r="I36" i="14"/>
  <c r="I30" i="14"/>
  <c r="I24" i="14"/>
  <c r="I18" i="14"/>
  <c r="I11" i="14"/>
  <c r="I31" i="14"/>
  <c r="O41" i="14"/>
  <c r="I41" i="14"/>
  <c r="I35" i="14"/>
  <c r="I29" i="14"/>
  <c r="I23" i="14"/>
  <c r="I17" i="14"/>
  <c r="AD12" i="14"/>
  <c r="I19" i="14"/>
  <c r="AI46" i="14"/>
  <c r="I46" i="14"/>
  <c r="I40" i="14"/>
  <c r="I34" i="14"/>
  <c r="I28" i="14"/>
  <c r="I22" i="14"/>
  <c r="I16" i="14"/>
  <c r="I37" i="14"/>
  <c r="I13" i="14"/>
  <c r="BG39" i="15"/>
  <c r="BG27" i="15"/>
  <c r="BL39" i="15"/>
  <c r="BL15" i="15"/>
  <c r="BQ39" i="15"/>
  <c r="BQ15" i="15"/>
  <c r="BV32" i="15"/>
  <c r="BV26" i="15"/>
  <c r="BV20" i="15"/>
  <c r="BL24" i="15"/>
  <c r="BL18" i="15"/>
  <c r="AR40" i="15"/>
  <c r="AR34" i="15"/>
  <c r="BQ47" i="15"/>
  <c r="BL40" i="15"/>
  <c r="BG15" i="15"/>
  <c r="BL34" i="15"/>
  <c r="BL28" i="15"/>
  <c r="BL22" i="15"/>
  <c r="BL16" i="15"/>
  <c r="BQ28" i="15"/>
  <c r="BV46" i="15"/>
  <c r="BV40" i="15"/>
  <c r="AR38" i="15"/>
  <c r="AW14" i="15"/>
  <c r="BG43" i="15"/>
  <c r="BG19" i="15"/>
  <c r="BG16" i="15"/>
  <c r="BQ23" i="15"/>
  <c r="BV47" i="15"/>
  <c r="BV23" i="15"/>
  <c r="BL27" i="15"/>
  <c r="BG14" i="15"/>
  <c r="BG32" i="15"/>
  <c r="BV39" i="15"/>
  <c r="BL20" i="15"/>
  <c r="BQ44" i="15"/>
  <c r="BL19" i="15"/>
  <c r="AW30" i="15"/>
  <c r="AW18" i="15"/>
  <c r="BG18" i="15"/>
  <c r="BL42" i="15"/>
  <c r="BQ12" i="15"/>
  <c r="BQ19" i="15"/>
  <c r="BV43" i="15"/>
  <c r="BG47" i="15"/>
  <c r="BG23" i="15"/>
  <c r="BV12" i="15"/>
  <c r="BV42" i="15"/>
  <c r="BV36" i="15"/>
  <c r="BV30" i="15"/>
  <c r="BV24" i="15"/>
  <c r="BV18" i="15"/>
  <c r="AI14" i="14"/>
  <c r="O15" i="14"/>
  <c r="AD32" i="14"/>
  <c r="AD26" i="14"/>
  <c r="Y12" i="14"/>
  <c r="AI34" i="14"/>
  <c r="AI28" i="14"/>
  <c r="AI22" i="14"/>
  <c r="O37" i="14"/>
  <c r="O31" i="14"/>
  <c r="T40" i="14"/>
  <c r="T34" i="14"/>
  <c r="AD36" i="14"/>
  <c r="O42" i="14"/>
  <c r="T45" i="14"/>
  <c r="T43" i="14"/>
  <c r="T19" i="14"/>
  <c r="O45" i="14"/>
  <c r="Y11" i="14"/>
  <c r="T11" i="14"/>
  <c r="Y22" i="14"/>
  <c r="Y16" i="14"/>
  <c r="T28" i="14"/>
  <c r="Y27" i="14"/>
  <c r="Y20" i="14"/>
  <c r="Y13" i="14"/>
  <c r="AI45" i="14"/>
  <c r="T44" i="14"/>
  <c r="T20" i="14"/>
  <c r="Y14" i="14"/>
  <c r="AD46" i="14"/>
  <c r="AD40" i="14"/>
  <c r="AI44" i="14"/>
  <c r="AI38" i="14"/>
  <c r="AI20" i="14"/>
  <c r="O43" i="14"/>
  <c r="T18" i="14"/>
  <c r="AI19" i="14"/>
  <c r="O19" i="14"/>
  <c r="H30" i="14"/>
  <c r="T16" i="14"/>
  <c r="O29" i="14"/>
  <c r="T39" i="14"/>
  <c r="Y21" i="14"/>
  <c r="O17" i="14"/>
  <c r="T27" i="14"/>
  <c r="O14" i="14"/>
  <c r="O22" i="14"/>
  <c r="T26" i="14"/>
  <c r="T13" i="14"/>
  <c r="Y43" i="14"/>
  <c r="AD35" i="14"/>
  <c r="AD45" i="14"/>
  <c r="O38" i="14"/>
  <c r="O27" i="14"/>
  <c r="O21" i="14"/>
  <c r="T33" i="14"/>
  <c r="T22" i="14"/>
  <c r="Y39" i="14"/>
  <c r="Y15" i="14"/>
  <c r="AD38" i="14"/>
  <c r="T38" i="14"/>
  <c r="AD20" i="14"/>
  <c r="O26" i="14"/>
  <c r="T32" i="14"/>
  <c r="T21" i="14"/>
  <c r="Y38" i="14"/>
  <c r="AD43" i="14"/>
  <c r="AD37" i="14"/>
  <c r="AI31" i="14"/>
  <c r="AI13" i="14"/>
  <c r="O25" i="14"/>
  <c r="Y37" i="14"/>
  <c r="AI30" i="14"/>
  <c r="O11" i="14"/>
  <c r="H36" i="14"/>
  <c r="T42" i="14"/>
  <c r="T25" i="14"/>
  <c r="Y25" i="14"/>
  <c r="Y19" i="14"/>
  <c r="AD41" i="14"/>
  <c r="AD30" i="14"/>
  <c r="AD24" i="14"/>
  <c r="AD18" i="14"/>
  <c r="AI41" i="14"/>
  <c r="AI29" i="14"/>
  <c r="O46" i="14"/>
  <c r="O35" i="14"/>
  <c r="O24" i="14"/>
  <c r="Y24" i="14"/>
  <c r="Y18" i="14"/>
  <c r="AD29" i="14"/>
  <c r="AD23" i="14"/>
  <c r="AD17" i="14"/>
  <c r="AI17" i="14"/>
  <c r="O40" i="14"/>
  <c r="Y35" i="14"/>
  <c r="O23" i="14"/>
  <c r="T46" i="14"/>
  <c r="Y23" i="14"/>
  <c r="AD28" i="14"/>
  <c r="AD22" i="14"/>
  <c r="AD16" i="14"/>
  <c r="AI39" i="14"/>
  <c r="H12" i="14"/>
  <c r="O39" i="14"/>
  <c r="O33" i="14"/>
  <c r="T23" i="14"/>
  <c r="Y40" i="14"/>
  <c r="Y34" i="14"/>
  <c r="AI33" i="14"/>
  <c r="AI27" i="14"/>
  <c r="T12" i="14"/>
  <c r="L269" i="28"/>
  <c r="Y269" i="28" s="1"/>
  <c r="L267" i="28"/>
  <c r="Y267" i="28" s="1"/>
  <c r="L32" i="28"/>
  <c r="Y32" i="28" s="1"/>
  <c r="L39" i="28"/>
  <c r="Y39" i="28" s="1"/>
  <c r="AR17" i="15"/>
  <c r="AR27" i="15"/>
  <c r="AR32" i="15"/>
  <c r="AR31" i="15"/>
  <c r="AR41" i="15"/>
  <c r="AR46" i="15"/>
  <c r="AR43" i="15"/>
  <c r="AR12" i="15"/>
  <c r="AR25" i="15"/>
  <c r="AR47" i="15"/>
  <c r="AR35" i="15"/>
  <c r="AR29" i="15"/>
  <c r="AR22" i="15"/>
  <c r="AR15" i="15"/>
  <c r="AR39" i="15"/>
  <c r="AR21" i="15"/>
  <c r="AR26" i="15"/>
  <c r="AR37" i="15"/>
  <c r="AR42" i="15"/>
  <c r="AR19" i="15"/>
  <c r="AR30" i="15"/>
  <c r="BM11" i="20"/>
  <c r="BM42" i="20"/>
  <c r="BM18" i="20"/>
  <c r="I18" i="20"/>
  <c r="BM32" i="20"/>
  <c r="BM28" i="20"/>
  <c r="BM22" i="20"/>
  <c r="BM40" i="20"/>
  <c r="BM16" i="20"/>
  <c r="BM44" i="20"/>
  <c r="BM20" i="20"/>
  <c r="BM24" i="20"/>
  <c r="BH15" i="20"/>
  <c r="BH23" i="20"/>
  <c r="BH27" i="20"/>
  <c r="BH31" i="20"/>
  <c r="BH35" i="20"/>
  <c r="BC24" i="20"/>
  <c r="BC42" i="20"/>
  <c r="BC18" i="20"/>
  <c r="BC38" i="20"/>
  <c r="BC14" i="20"/>
  <c r="BC28" i="20"/>
  <c r="H24" i="20"/>
  <c r="I23" i="20"/>
  <c r="I14" i="20"/>
  <c r="BC36" i="20"/>
  <c r="BC12" i="20"/>
  <c r="BC26" i="20"/>
  <c r="BC40" i="20"/>
  <c r="BC16" i="20"/>
  <c r="BC30" i="20"/>
  <c r="AX32" i="20"/>
  <c r="AX12" i="20"/>
  <c r="H41" i="20"/>
  <c r="AX26" i="20"/>
  <c r="H46" i="20"/>
  <c r="I40" i="20"/>
  <c r="AX40" i="20"/>
  <c r="AX16" i="20"/>
  <c r="AX36" i="20"/>
  <c r="H17" i="20"/>
  <c r="AX30" i="20"/>
  <c r="AX34" i="20"/>
  <c r="AX24" i="20"/>
  <c r="AX11" i="20"/>
  <c r="AX28" i="20"/>
  <c r="AS25" i="20"/>
  <c r="AS29" i="20"/>
  <c r="I30" i="20"/>
  <c r="AS43" i="20"/>
  <c r="AS19" i="20"/>
  <c r="AS33" i="20"/>
  <c r="I19" i="20"/>
  <c r="AS23" i="20"/>
  <c r="I34" i="20"/>
  <c r="H29" i="20"/>
  <c r="H34" i="20"/>
  <c r="AS27" i="20"/>
  <c r="AS41" i="20"/>
  <c r="AS17" i="20"/>
  <c r="I24" i="20"/>
  <c r="H28" i="20"/>
  <c r="AN18" i="20"/>
  <c r="I43" i="20"/>
  <c r="AN39" i="20"/>
  <c r="AN33" i="20"/>
  <c r="AN17" i="20"/>
  <c r="AN27" i="20"/>
  <c r="AN43" i="20"/>
  <c r="AN37" i="20"/>
  <c r="AN41" i="20"/>
  <c r="AN31" i="20"/>
  <c r="AN15" i="20"/>
  <c r="AN35" i="20"/>
  <c r="AN19" i="20"/>
  <c r="H35" i="20"/>
  <c r="AI40" i="20"/>
  <c r="AI16" i="20"/>
  <c r="I16" i="20"/>
  <c r="AI44" i="20"/>
  <c r="AI34" i="20"/>
  <c r="AI38" i="20"/>
  <c r="AI28" i="20"/>
  <c r="AI18" i="20"/>
  <c r="H30" i="20"/>
  <c r="H25" i="20"/>
  <c r="AI46" i="20"/>
  <c r="AI22" i="20"/>
  <c r="AI20" i="20"/>
  <c r="I44" i="20"/>
  <c r="AI36" i="20"/>
  <c r="AD37" i="20"/>
  <c r="AD13" i="20"/>
  <c r="I17" i="20"/>
  <c r="AD46" i="20"/>
  <c r="AD22" i="20"/>
  <c r="H18" i="20"/>
  <c r="I32" i="20"/>
  <c r="I27" i="20"/>
  <c r="AD45" i="20"/>
  <c r="I22" i="20"/>
  <c r="AD26" i="20"/>
  <c r="H33" i="20"/>
  <c r="H37" i="20"/>
  <c r="AD29" i="20"/>
  <c r="H13" i="20"/>
  <c r="H31" i="20"/>
  <c r="H19" i="20"/>
  <c r="AD33" i="20"/>
  <c r="H42" i="20"/>
  <c r="H20" i="20"/>
  <c r="H11" i="20"/>
  <c r="Y37" i="20"/>
  <c r="Y31" i="20"/>
  <c r="Y21" i="20"/>
  <c r="Y41" i="20"/>
  <c r="Y25" i="20"/>
  <c r="Y19" i="20"/>
  <c r="H39" i="20"/>
  <c r="Y30" i="20"/>
  <c r="Y20" i="20"/>
  <c r="I38" i="20"/>
  <c r="Y36" i="20"/>
  <c r="I31" i="20"/>
  <c r="H15" i="20"/>
  <c r="Y34" i="20"/>
  <c r="I11" i="20"/>
  <c r="Y33" i="20"/>
  <c r="Y17" i="20"/>
  <c r="I36" i="20"/>
  <c r="I20" i="20"/>
  <c r="Y38" i="20"/>
  <c r="Y22" i="20"/>
  <c r="I46" i="20"/>
  <c r="T42" i="20"/>
  <c r="T26" i="20"/>
  <c r="I42" i="20"/>
  <c r="AG43" i="15" s="1"/>
  <c r="I26" i="20"/>
  <c r="T11" i="20"/>
  <c r="H44" i="20"/>
  <c r="I29" i="20"/>
  <c r="T35" i="20"/>
  <c r="H43" i="20"/>
  <c r="I41" i="20"/>
  <c r="I33" i="20"/>
  <c r="T46" i="20"/>
  <c r="T30" i="20"/>
  <c r="I13" i="20"/>
  <c r="H27" i="20"/>
  <c r="H32" i="20"/>
  <c r="T39" i="20"/>
  <c r="T23" i="20"/>
  <c r="H12" i="20"/>
  <c r="T34" i="20"/>
  <c r="T18" i="20"/>
  <c r="T17" i="20"/>
  <c r="H36" i="20"/>
  <c r="I21" i="20"/>
  <c r="I45" i="20"/>
  <c r="I37" i="20"/>
  <c r="T38" i="20"/>
  <c r="T22" i="20"/>
  <c r="O18" i="20"/>
  <c r="O30" i="20"/>
  <c r="O42" i="20"/>
  <c r="H40" i="20"/>
  <c r="H14" i="20"/>
  <c r="O19" i="20"/>
  <c r="O43" i="20"/>
  <c r="O20" i="20"/>
  <c r="O32" i="20"/>
  <c r="I39" i="20"/>
  <c r="H22" i="20"/>
  <c r="H26" i="20"/>
  <c r="O34" i="20"/>
  <c r="O46" i="20"/>
  <c r="I25" i="20"/>
  <c r="I12" i="20"/>
  <c r="O24" i="20"/>
  <c r="O36" i="20"/>
  <c r="H38" i="20"/>
  <c r="H16" i="20"/>
  <c r="O37" i="20"/>
  <c r="O11" i="20"/>
  <c r="I28" i="20"/>
  <c r="I15" i="20"/>
  <c r="AI36" i="14"/>
  <c r="AI40" i="14"/>
  <c r="AI18" i="14"/>
  <c r="AI12" i="14"/>
  <c r="AI35" i="14"/>
  <c r="AI24" i="14"/>
  <c r="AI23" i="14"/>
  <c r="AI43" i="14"/>
  <c r="AI16" i="14"/>
  <c r="AI32" i="14"/>
  <c r="AI26" i="14"/>
  <c r="AD34" i="14"/>
  <c r="AD39" i="14"/>
  <c r="AD44" i="14"/>
  <c r="AD15" i="14"/>
  <c r="AD42" i="14"/>
  <c r="AD13" i="14"/>
  <c r="AD25" i="14"/>
  <c r="AD19" i="14"/>
  <c r="Y45" i="14"/>
  <c r="Y29" i="14"/>
  <c r="Y44" i="14"/>
  <c r="Y28" i="14"/>
  <c r="Y33" i="14"/>
  <c r="Y17" i="14"/>
  <c r="Y32" i="14"/>
  <c r="Y42" i="14"/>
  <c r="Y26" i="14"/>
  <c r="H14" i="14"/>
  <c r="H34" i="14"/>
  <c r="Y36" i="14"/>
  <c r="Y41" i="14"/>
  <c r="Y46" i="14"/>
  <c r="Y30" i="14"/>
  <c r="H28" i="14"/>
  <c r="T35" i="14"/>
  <c r="T15" i="14"/>
  <c r="H20" i="14"/>
  <c r="T29" i="14"/>
  <c r="H18" i="14"/>
  <c r="T37" i="14"/>
  <c r="T41" i="14"/>
  <c r="T17" i="14"/>
  <c r="T31" i="14"/>
  <c r="O44" i="14"/>
  <c r="O28" i="14"/>
  <c r="H38" i="14"/>
  <c r="O32" i="14"/>
  <c r="O16" i="14"/>
  <c r="H46" i="14"/>
  <c r="H16" i="14"/>
  <c r="H26" i="14"/>
  <c r="O36" i="14"/>
  <c r="O20" i="14"/>
  <c r="H44" i="14"/>
  <c r="O30" i="14"/>
  <c r="O13" i="14"/>
  <c r="H42" i="14"/>
  <c r="H32" i="14"/>
  <c r="H24" i="14"/>
  <c r="O34" i="14"/>
  <c r="O18" i="14"/>
  <c r="H40" i="14"/>
  <c r="H22" i="14"/>
  <c r="BV34" i="15"/>
  <c r="BV28" i="15"/>
  <c r="BV22" i="15"/>
  <c r="BV16" i="15"/>
  <c r="BV15" i="15"/>
  <c r="BV44" i="15"/>
  <c r="BQ43" i="15"/>
  <c r="BQ31" i="15"/>
  <c r="BQ38" i="15"/>
  <c r="BQ24" i="15"/>
  <c r="BQ22" i="15"/>
  <c r="BL46" i="15"/>
  <c r="BL32" i="15"/>
  <c r="BL31" i="15"/>
  <c r="BG46" i="15"/>
  <c r="BG34" i="15"/>
  <c r="BG22" i="15"/>
  <c r="BG13" i="15"/>
  <c r="BG30" i="15"/>
  <c r="AW28" i="15"/>
  <c r="AW16" i="15"/>
  <c r="AW15" i="15"/>
  <c r="AW44" i="15"/>
  <c r="AW32" i="15"/>
  <c r="AW26" i="15"/>
  <c r="AW39" i="15"/>
  <c r="AW21" i="15"/>
  <c r="AW25" i="15"/>
  <c r="AW42" i="15"/>
  <c r="J181" i="28"/>
  <c r="L161" i="28"/>
  <c r="Y161" i="28" s="1"/>
  <c r="L430" i="28"/>
  <c r="Y430" i="28" s="1"/>
  <c r="K67" i="28"/>
  <c r="L70" i="28"/>
  <c r="Y70" i="28" s="1"/>
  <c r="O170" i="28"/>
  <c r="O181" i="28" s="1"/>
  <c r="L195" i="28"/>
  <c r="Y195" i="28" s="1"/>
  <c r="J368" i="28"/>
  <c r="L365" i="28"/>
  <c r="Y365" i="28" s="1"/>
  <c r="L198" i="28"/>
  <c r="Y198" i="28" s="1"/>
  <c r="L197" i="28"/>
  <c r="Y197" i="28" s="1"/>
  <c r="I423" i="28"/>
  <c r="L127" i="28"/>
  <c r="Y127" i="28" s="1"/>
  <c r="L105" i="28"/>
  <c r="Y105" i="28" s="1"/>
  <c r="I181" i="28"/>
  <c r="L64" i="28"/>
  <c r="Y64" i="28" s="1"/>
  <c r="J334" i="28"/>
  <c r="K377" i="28"/>
  <c r="L106" i="28"/>
  <c r="Y106" i="28" s="1"/>
  <c r="K415" i="28"/>
  <c r="K423" i="28"/>
  <c r="L132" i="28"/>
  <c r="Y132" i="28" s="1"/>
  <c r="L353" i="28"/>
  <c r="Y353" i="28" s="1"/>
  <c r="AR14" i="15"/>
  <c r="BG17" i="15"/>
  <c r="BL23" i="15"/>
  <c r="BQ27" i="15"/>
  <c r="AW43" i="15"/>
  <c r="AW31" i="15"/>
  <c r="BG42" i="15"/>
  <c r="BG37" i="15"/>
  <c r="BG26" i="15"/>
  <c r="BG21" i="15"/>
  <c r="BL17" i="15"/>
  <c r="BV14" i="15"/>
  <c r="BG31" i="15"/>
  <c r="BV19" i="15"/>
  <c r="AR28" i="15"/>
  <c r="AR23" i="15"/>
  <c r="AW13" i="15"/>
  <c r="BG41" i="15"/>
  <c r="BG36" i="15"/>
  <c r="BL36" i="15"/>
  <c r="BL26" i="15"/>
  <c r="BG40" i="15"/>
  <c r="BG35" i="15"/>
  <c r="BL35" i="15"/>
  <c r="AW46" i="15"/>
  <c r="AW34" i="15"/>
  <c r="BG45" i="15"/>
  <c r="BL30" i="15"/>
  <c r="BQ40" i="15"/>
  <c r="BQ13" i="15"/>
  <c r="BV38" i="15"/>
  <c r="AW22" i="15"/>
  <c r="BQ29" i="15"/>
  <c r="AR45" i="15"/>
  <c r="BQ45" i="15"/>
  <c r="BL14" i="15"/>
  <c r="K308" i="28"/>
  <c r="L34" i="28"/>
  <c r="Y34" i="28" s="1"/>
  <c r="L41" i="28"/>
  <c r="Y41" i="28" s="1"/>
  <c r="K349" i="28"/>
  <c r="L300" i="28"/>
  <c r="J47" i="28"/>
  <c r="K47" i="28"/>
  <c r="J287" i="28"/>
  <c r="L29" i="28"/>
  <c r="Y29" i="28" s="1"/>
  <c r="AW20" i="15"/>
  <c r="BQ16" i="15"/>
  <c r="AW24" i="15"/>
  <c r="BG24" i="15"/>
  <c r="BV21" i="15"/>
  <c r="AR13" i="15"/>
  <c r="BG44" i="15"/>
  <c r="BQ21" i="15"/>
  <c r="AW19" i="15"/>
  <c r="BQ36" i="15"/>
  <c r="BV31" i="15"/>
  <c r="BV45" i="15"/>
  <c r="AR44" i="15"/>
  <c r="AW37" i="15"/>
  <c r="BL43" i="15"/>
  <c r="BL13" i="15"/>
  <c r="BQ33" i="15"/>
  <c r="BQ17" i="15"/>
  <c r="BV33" i="15"/>
  <c r="BV37" i="15"/>
  <c r="BV13" i="15"/>
  <c r="AR16" i="15"/>
  <c r="BG29" i="15"/>
  <c r="BL33" i="15"/>
  <c r="AR20" i="15"/>
  <c r="BQ25" i="15"/>
  <c r="AR24" i="15"/>
  <c r="AW40" i="15"/>
  <c r="AW23" i="15"/>
  <c r="BG33" i="15"/>
  <c r="BG28" i="15"/>
  <c r="BL41" i="15"/>
  <c r="BQ46" i="15"/>
  <c r="BQ30" i="15"/>
  <c r="BQ14" i="15"/>
  <c r="BV35" i="15"/>
  <c r="BL21" i="15"/>
  <c r="BQ32" i="15"/>
  <c r="BG20" i="15"/>
  <c r="BQ37" i="15"/>
  <c r="BL29" i="15"/>
  <c r="BV17" i="15"/>
  <c r="AW47" i="15"/>
  <c r="BL37" i="15"/>
  <c r="AW45" i="15"/>
  <c r="AW33" i="15"/>
  <c r="AW17" i="15"/>
  <c r="BL45" i="15"/>
  <c r="BV25" i="15"/>
  <c r="AW36" i="15"/>
  <c r="BQ42" i="15"/>
  <c r="AW35" i="15"/>
  <c r="BG25" i="15"/>
  <c r="BL25" i="15"/>
  <c r="BV27" i="15"/>
  <c r="BQ26" i="15"/>
  <c r="BV41" i="15"/>
  <c r="BQ20" i="15"/>
  <c r="BQ41" i="15"/>
  <c r="AR36" i="15"/>
  <c r="AR18" i="15"/>
  <c r="AW38" i="15"/>
  <c r="AW27" i="15"/>
  <c r="BQ34" i="15"/>
  <c r="BQ18" i="15"/>
  <c r="BV29" i="15"/>
  <c r="AW12" i="15"/>
  <c r="L52" i="28"/>
  <c r="Y52" i="28" s="1"/>
  <c r="L59" i="28"/>
  <c r="Y59" i="28" s="1"/>
  <c r="I225" i="28"/>
  <c r="L218" i="28"/>
  <c r="Y218" i="28" s="1"/>
  <c r="K355" i="28"/>
  <c r="J395" i="28"/>
  <c r="K163" i="28"/>
  <c r="L54" i="28"/>
  <c r="Y54" i="28" s="1"/>
  <c r="L57" i="28"/>
  <c r="Y57" i="28" s="1"/>
  <c r="L61" i="28"/>
  <c r="Y61" i="28" s="1"/>
  <c r="K95" i="28"/>
  <c r="L173" i="28"/>
  <c r="Y173" i="28" s="1"/>
  <c r="L175" i="28"/>
  <c r="Y175" i="28" s="1"/>
  <c r="K203" i="28"/>
  <c r="J225" i="28"/>
  <c r="L210" i="28"/>
  <c r="Y210" i="28" s="1"/>
  <c r="L359" i="28"/>
  <c r="Y359" i="28" s="1"/>
  <c r="K395" i="28"/>
  <c r="L390" i="28"/>
  <c r="Y390" i="28" s="1"/>
  <c r="L109" i="28"/>
  <c r="Y109" i="28" s="1"/>
  <c r="L131" i="28"/>
  <c r="Y131" i="28" s="1"/>
  <c r="L133" i="28"/>
  <c r="Y133" i="28" s="1"/>
  <c r="K225" i="28"/>
  <c r="I334" i="28"/>
  <c r="K362" i="28"/>
  <c r="L421" i="28"/>
  <c r="Y421" i="28" s="1"/>
  <c r="L428" i="28"/>
  <c r="Y428" i="28" s="1"/>
  <c r="L101" i="28"/>
  <c r="Y101" i="28" s="1"/>
  <c r="K181" i="28"/>
  <c r="J433" i="28"/>
  <c r="L55" i="28"/>
  <c r="Y55" i="28" s="1"/>
  <c r="J143" i="28"/>
  <c r="L137" i="28"/>
  <c r="Y137" i="28" s="1"/>
  <c r="L243" i="28"/>
  <c r="Y243" i="28" s="1"/>
  <c r="K334" i="28"/>
  <c r="J404" i="28"/>
  <c r="M437" i="28"/>
  <c r="K143" i="28"/>
  <c r="I245" i="28"/>
  <c r="K368" i="28"/>
  <c r="L62" i="28"/>
  <c r="Y62" i="28" s="1"/>
  <c r="J76" i="28"/>
  <c r="L73" i="28"/>
  <c r="Y73" i="28" s="1"/>
  <c r="L104" i="28"/>
  <c r="Y104" i="28" s="1"/>
  <c r="L135" i="28"/>
  <c r="Y135" i="28" s="1"/>
  <c r="L219" i="28"/>
  <c r="Y219" i="28" s="1"/>
  <c r="J245" i="28"/>
  <c r="J362" i="28"/>
  <c r="L387" i="28"/>
  <c r="Y387" i="28" s="1"/>
  <c r="K404" i="28"/>
  <c r="J67" i="28"/>
  <c r="K76" i="28"/>
  <c r="L98" i="28"/>
  <c r="Y98" i="28" s="1"/>
  <c r="L178" i="28"/>
  <c r="Y178" i="28" s="1"/>
  <c r="F245" i="28"/>
  <c r="P245" i="28" s="1"/>
  <c r="L232" i="28"/>
  <c r="Y232" i="28" s="1"/>
  <c r="J119" i="28"/>
  <c r="L100" i="28"/>
  <c r="Y100" i="28" s="1"/>
  <c r="L110" i="28"/>
  <c r="Y110" i="28" s="1"/>
  <c r="L156" i="28"/>
  <c r="Y156" i="28" s="1"/>
  <c r="I163" i="28"/>
  <c r="L400" i="28"/>
  <c r="Y400" i="28" s="1"/>
  <c r="L418" i="28"/>
  <c r="Y418" i="28" s="1"/>
  <c r="K119" i="28"/>
  <c r="L126" i="28"/>
  <c r="Y126" i="28" s="1"/>
  <c r="L128" i="28"/>
  <c r="Y128" i="28" s="1"/>
  <c r="J163" i="28"/>
  <c r="L154" i="28"/>
  <c r="Y154" i="28" s="1"/>
  <c r="L158" i="28"/>
  <c r="Y158" i="28" s="1"/>
  <c r="J203" i="28"/>
  <c r="L211" i="28"/>
  <c r="Y211" i="28" s="1"/>
  <c r="O316" i="28"/>
  <c r="O334" i="28" s="1"/>
  <c r="J423" i="28"/>
  <c r="AD11" i="14"/>
  <c r="BC11" i="20"/>
  <c r="AS11" i="20"/>
  <c r="Y11" i="20"/>
  <c r="P334" i="28"/>
  <c r="M163" i="28"/>
  <c r="Y386" i="28"/>
  <c r="F435" i="28"/>
  <c r="P433" i="28"/>
  <c r="P362" i="28"/>
  <c r="P415" i="28"/>
  <c r="P383" i="28"/>
  <c r="P404" i="28"/>
  <c r="M435" i="28"/>
  <c r="P287" i="28"/>
  <c r="E336" i="28"/>
  <c r="E440" i="28" s="1"/>
  <c r="P395" i="28"/>
  <c r="C447" i="28"/>
  <c r="C443" i="28" s="1"/>
  <c r="H440" i="28"/>
  <c r="C611" i="28"/>
  <c r="L287" i="28"/>
  <c r="Y270" i="28"/>
  <c r="P423" i="28"/>
  <c r="O433" i="28"/>
  <c r="O435" i="28" s="1"/>
  <c r="L79" i="28"/>
  <c r="L170" i="28"/>
  <c r="Y170" i="28" s="1"/>
  <c r="F203" i="28"/>
  <c r="P203" i="28" s="1"/>
  <c r="C225" i="28"/>
  <c r="P225" i="28" s="1"/>
  <c r="L342" i="28"/>
  <c r="J355" i="28"/>
  <c r="L371" i="28"/>
  <c r="I404" i="28"/>
  <c r="L408" i="28"/>
  <c r="L415" i="28" s="1"/>
  <c r="F287" i="28"/>
  <c r="E119" i="28"/>
  <c r="P119" i="28" s="1"/>
  <c r="I143" i="28"/>
  <c r="L150" i="28"/>
  <c r="Y150" i="28" s="1"/>
  <c r="L189" i="28"/>
  <c r="Y189" i="28" s="1"/>
  <c r="L253" i="28"/>
  <c r="Y253" i="28" s="1"/>
  <c r="L316" i="28"/>
  <c r="E47" i="28"/>
  <c r="F119" i="28"/>
  <c r="P136" i="28"/>
  <c r="C181" i="28"/>
  <c r="P181" i="28" s="1"/>
  <c r="K245" i="28"/>
  <c r="F264" i="28"/>
  <c r="P264" i="28" s="1"/>
  <c r="I287" i="28"/>
  <c r="I395" i="28"/>
  <c r="G437" i="28"/>
  <c r="L28" i="28"/>
  <c r="L71" i="28"/>
  <c r="I203" i="28"/>
  <c r="L206" i="28"/>
  <c r="L299" i="28"/>
  <c r="I433" i="28"/>
  <c r="P67" i="28"/>
  <c r="O299" i="28"/>
  <c r="O308" i="28" s="1"/>
  <c r="L315" i="28"/>
  <c r="Y315" i="28" s="1"/>
  <c r="L366" i="28"/>
  <c r="Y366" i="28" s="1"/>
  <c r="L429" i="28"/>
  <c r="Y429" i="28" s="1"/>
  <c r="I119" i="28"/>
  <c r="P188" i="28"/>
  <c r="P242" i="28"/>
  <c r="L381" i="28"/>
  <c r="Y381" i="28" s="1"/>
  <c r="P393" i="28"/>
  <c r="K433" i="28"/>
  <c r="P50" i="28"/>
  <c r="L345" i="28"/>
  <c r="P352" i="28"/>
  <c r="C377" i="28"/>
  <c r="P401" i="28"/>
  <c r="P122" i="28"/>
  <c r="P280" i="28"/>
  <c r="L25" i="28"/>
  <c r="P73" i="28"/>
  <c r="M170" i="28" l="1"/>
  <c r="M181" i="28" s="1"/>
  <c r="J36" i="14"/>
  <c r="AG27" i="15"/>
  <c r="L355" i="28"/>
  <c r="L362" i="28"/>
  <c r="L308" i="28"/>
  <c r="L423" i="28"/>
  <c r="K435" i="28"/>
  <c r="L404" i="28"/>
  <c r="J23" i="20"/>
  <c r="AG36" i="15"/>
  <c r="AH36" i="15" s="1"/>
  <c r="J35" i="20"/>
  <c r="J45" i="20"/>
  <c r="J21" i="20"/>
  <c r="AG41" i="15"/>
  <c r="AG45" i="15"/>
  <c r="AG25" i="15"/>
  <c r="AG21" i="15"/>
  <c r="J13" i="14"/>
  <c r="AG37" i="15"/>
  <c r="AG39" i="15"/>
  <c r="AG23" i="15"/>
  <c r="J25" i="14"/>
  <c r="J30" i="14"/>
  <c r="AG20" i="15"/>
  <c r="J21" i="14"/>
  <c r="AG44" i="15"/>
  <c r="AF37" i="15"/>
  <c r="AG19" i="15"/>
  <c r="AG31" i="15"/>
  <c r="AM41" i="15"/>
  <c r="AM44" i="15"/>
  <c r="AM22" i="15"/>
  <c r="J24" i="20"/>
  <c r="J18" i="20"/>
  <c r="J40" i="20"/>
  <c r="AG28" i="15"/>
  <c r="J43" i="20"/>
  <c r="AG29" i="15"/>
  <c r="J41" i="20"/>
  <c r="J30" i="20"/>
  <c r="J46" i="20"/>
  <c r="J14" i="20"/>
  <c r="AG42" i="15"/>
  <c r="AG15" i="15"/>
  <c r="J12" i="20"/>
  <c r="AG24" i="15"/>
  <c r="AH24" i="15" s="1"/>
  <c r="AF47" i="15"/>
  <c r="J37" i="20"/>
  <c r="J34" i="20"/>
  <c r="AG17" i="15"/>
  <c r="J15" i="20"/>
  <c r="AF35" i="15"/>
  <c r="J29" i="20"/>
  <c r="J44" i="20"/>
  <c r="J17" i="20"/>
  <c r="AG38" i="15"/>
  <c r="AH38" i="15" s="1"/>
  <c r="J16" i="20"/>
  <c r="AF29" i="15"/>
  <c r="AG33" i="15"/>
  <c r="J25" i="20"/>
  <c r="AF43" i="15"/>
  <c r="AH43" i="15" s="1"/>
  <c r="AG35" i="15"/>
  <c r="J28" i="20"/>
  <c r="AG12" i="15"/>
  <c r="J19" i="20"/>
  <c r="J13" i="20"/>
  <c r="AG18" i="15"/>
  <c r="AH18" i="15" s="1"/>
  <c r="J20" i="20"/>
  <c r="AG30" i="15"/>
  <c r="AF31" i="15"/>
  <c r="J33" i="20"/>
  <c r="J31" i="20"/>
  <c r="AF19" i="15"/>
  <c r="J11" i="20"/>
  <c r="AF13" i="15"/>
  <c r="AG34" i="15"/>
  <c r="J32" i="20"/>
  <c r="J27" i="20"/>
  <c r="J22" i="20"/>
  <c r="AF21" i="15"/>
  <c r="J38" i="20"/>
  <c r="AG22" i="15"/>
  <c r="AH22" i="15" s="1"/>
  <c r="AG46" i="15"/>
  <c r="AH46" i="15" s="1"/>
  <c r="AG32" i="15"/>
  <c r="AG14" i="15"/>
  <c r="J36" i="20"/>
  <c r="AF41" i="15"/>
  <c r="J39" i="20"/>
  <c r="J42" i="20"/>
  <c r="AF33" i="15"/>
  <c r="AG47" i="15"/>
  <c r="J26" i="20"/>
  <c r="AF45" i="15"/>
  <c r="AF23" i="15"/>
  <c r="AG13" i="15"/>
  <c r="AG26" i="15"/>
  <c r="AG16" i="15"/>
  <c r="AG40" i="15"/>
  <c r="AF17" i="15"/>
  <c r="J33" i="14"/>
  <c r="J18" i="14"/>
  <c r="J14" i="14"/>
  <c r="J23" i="14"/>
  <c r="J28" i="14"/>
  <c r="J12" i="14"/>
  <c r="AF15" i="15"/>
  <c r="J19" i="14"/>
  <c r="J20" i="14"/>
  <c r="J22" i="14"/>
  <c r="J34" i="14"/>
  <c r="J45" i="14"/>
  <c r="J17" i="14"/>
  <c r="J40" i="14"/>
  <c r="J31" i="14"/>
  <c r="J11" i="14"/>
  <c r="J41" i="14"/>
  <c r="J37" i="14"/>
  <c r="J44" i="14"/>
  <c r="J15" i="14"/>
  <c r="AF27" i="15"/>
  <c r="J26" i="14"/>
  <c r="AF39" i="15"/>
  <c r="J38" i="14"/>
  <c r="J29" i="14"/>
  <c r="J39" i="14"/>
  <c r="J16" i="14"/>
  <c r="J42" i="14"/>
  <c r="J24" i="14"/>
  <c r="AF25" i="15"/>
  <c r="J43" i="14"/>
  <c r="J27" i="14"/>
  <c r="J46" i="14"/>
  <c r="J35" i="14"/>
  <c r="J32" i="14"/>
  <c r="AM36" i="15"/>
  <c r="AM13" i="15"/>
  <c r="AM33" i="15"/>
  <c r="AM20" i="15"/>
  <c r="AM31" i="15"/>
  <c r="AM32" i="15"/>
  <c r="AM43" i="15"/>
  <c r="AM25" i="15"/>
  <c r="AM29" i="15"/>
  <c r="AM27" i="15"/>
  <c r="AM19" i="15"/>
  <c r="AM46" i="15"/>
  <c r="AM16" i="15"/>
  <c r="AM21" i="15"/>
  <c r="AM39" i="15"/>
  <c r="AM47" i="15"/>
  <c r="AM35" i="15"/>
  <c r="AM18" i="15"/>
  <c r="AM28" i="15"/>
  <c r="AM34" i="15"/>
  <c r="AM26" i="15"/>
  <c r="AM40" i="15"/>
  <c r="AM38" i="15"/>
  <c r="AM23" i="15"/>
  <c r="AM24" i="15"/>
  <c r="AM14" i="15"/>
  <c r="AM42" i="15"/>
  <c r="K336" i="28"/>
  <c r="K440" i="28" s="1"/>
  <c r="M336" i="28"/>
  <c r="M440" i="28" s="1"/>
  <c r="L163" i="28"/>
  <c r="I336" i="28"/>
  <c r="I435" i="28"/>
  <c r="AM45" i="15"/>
  <c r="AM17" i="15"/>
  <c r="AM15" i="15"/>
  <c r="AM30" i="15"/>
  <c r="AM37" i="15"/>
  <c r="O336" i="28"/>
  <c r="O440" i="28" s="1"/>
  <c r="J336" i="28"/>
  <c r="AM12" i="15"/>
  <c r="L225" i="28"/>
  <c r="L245" i="28"/>
  <c r="L119" i="28"/>
  <c r="L383" i="28"/>
  <c r="L67" i="28"/>
  <c r="L433" i="28"/>
  <c r="L143" i="28"/>
  <c r="J435" i="28"/>
  <c r="L395" i="28"/>
  <c r="Y71" i="28"/>
  <c r="L76" i="28"/>
  <c r="L437" i="28"/>
  <c r="D437" i="28"/>
  <c r="D440" i="28" s="1"/>
  <c r="Y79" i="28"/>
  <c r="L95" i="28"/>
  <c r="P377" i="28"/>
  <c r="C435" i="28"/>
  <c r="P435" i="28" s="1"/>
  <c r="F336" i="28"/>
  <c r="F440" i="28" s="1"/>
  <c r="C448" i="28"/>
  <c r="C444" i="28" s="1"/>
  <c r="C442" i="28" s="1"/>
  <c r="G440" i="28"/>
  <c r="C336" i="28"/>
  <c r="L181" i="28"/>
  <c r="Y345" i="28"/>
  <c r="L349" i="28"/>
  <c r="L203" i="28"/>
  <c r="L264" i="28"/>
  <c r="Y371" i="28"/>
  <c r="L377" i="28"/>
  <c r="L334" i="28"/>
  <c r="L368" i="28"/>
  <c r="L47" i="28"/>
  <c r="Y28" i="28"/>
  <c r="AH27" i="15" l="1"/>
  <c r="J440" i="28"/>
  <c r="I440" i="28"/>
  <c r="AH21" i="15"/>
  <c r="AH25" i="15"/>
  <c r="AH39" i="15"/>
  <c r="AH41" i="15"/>
  <c r="AH34" i="15"/>
  <c r="AH45" i="15"/>
  <c r="AH37" i="15"/>
  <c r="AH32" i="15"/>
  <c r="AH23" i="15"/>
  <c r="AH30" i="15"/>
  <c r="AH44" i="15"/>
  <c r="AH20" i="15"/>
  <c r="AH31" i="15"/>
  <c r="AH29" i="15"/>
  <c r="AH28" i="15"/>
  <c r="AH35" i="15"/>
  <c r="AH17" i="15"/>
  <c r="AH26" i="15"/>
  <c r="AH15" i="15"/>
  <c r="AH19" i="15"/>
  <c r="AH14" i="15"/>
  <c r="AH42" i="15"/>
  <c r="AH47" i="15"/>
  <c r="AH33" i="15"/>
  <c r="AH12" i="15"/>
  <c r="AH13" i="15"/>
  <c r="AH16" i="15"/>
  <c r="AH40" i="15"/>
  <c r="L435" i="28"/>
  <c r="L336" i="28"/>
  <c r="C440" i="28"/>
  <c r="P440" i="28" s="1"/>
  <c r="P336" i="28"/>
  <c r="P441" i="28" l="1"/>
  <c r="L440" i="28"/>
  <c r="C601" i="28" s="1"/>
  <c r="C604" i="28" s="1"/>
  <c r="E47" i="26"/>
  <c r="E13" i="26"/>
  <c r="E82" i="26" l="1"/>
  <c r="E81" i="26"/>
  <c r="E76" i="18"/>
  <c r="E82" i="24"/>
  <c r="D159" i="26" l="1"/>
  <c r="M12" i="13"/>
  <c r="M10" i="13"/>
  <c r="D61" i="26"/>
  <c r="AF8" i="15"/>
  <c r="AW10" i="15"/>
  <c r="E30" i="26"/>
  <c r="P9" i="26"/>
  <c r="I9" i="26"/>
  <c r="H9" i="26"/>
  <c r="H7" i="26"/>
  <c r="F9" i="26"/>
  <c r="D79" i="26"/>
  <c r="D545" i="26"/>
  <c r="D535" i="26"/>
  <c r="D527" i="26"/>
  <c r="D516" i="26"/>
  <c r="D507" i="26"/>
  <c r="D489" i="26"/>
  <c r="D480" i="26"/>
  <c r="D474" i="26"/>
  <c r="D467" i="26"/>
  <c r="D461" i="26"/>
  <c r="D454" i="26"/>
  <c r="D446" i="26"/>
  <c r="D420" i="26"/>
  <c r="D399" i="26"/>
  <c r="D376" i="26"/>
  <c r="D357" i="26"/>
  <c r="D337" i="26"/>
  <c r="D315" i="26"/>
  <c r="D293" i="26"/>
  <c r="D275" i="26"/>
  <c r="D255" i="26"/>
  <c r="D231" i="26"/>
  <c r="D207" i="26"/>
  <c r="D188" i="26"/>
  <c r="D179" i="26"/>
  <c r="D121" i="26"/>
  <c r="D30" i="26" s="1"/>
  <c r="M107" i="26"/>
  <c r="L107" i="26"/>
  <c r="K107" i="26"/>
  <c r="J107" i="26"/>
  <c r="I107" i="26"/>
  <c r="H107" i="26"/>
  <c r="G107" i="26"/>
  <c r="F107" i="26"/>
  <c r="E107" i="26"/>
  <c r="I16" i="26" s="1"/>
  <c r="D107" i="26"/>
  <c r="C107" i="26"/>
  <c r="F14" i="26" s="1"/>
  <c r="B107" i="26"/>
  <c r="K94" i="26"/>
  <c r="I92" i="26"/>
  <c r="D82" i="26"/>
  <c r="D81" i="26"/>
  <c r="P78" i="26"/>
  <c r="D78" i="26"/>
  <c r="P77" i="26"/>
  <c r="D77" i="26"/>
  <c r="P76" i="26"/>
  <c r="D76" i="26" s="1"/>
  <c r="P75" i="26"/>
  <c r="D75" i="26" s="1"/>
  <c r="N74" i="26"/>
  <c r="D74" i="26"/>
  <c r="N73" i="26"/>
  <c r="D73" i="26"/>
  <c r="D72" i="26"/>
  <c r="D71" i="26"/>
  <c r="D70" i="26"/>
  <c r="H69" i="26"/>
  <c r="D69" i="26"/>
  <c r="H68" i="26"/>
  <c r="D68" i="26" s="1"/>
  <c r="F67" i="26"/>
  <c r="D67" i="26"/>
  <c r="E66" i="26"/>
  <c r="D66" i="26"/>
  <c r="E65" i="26"/>
  <c r="D65" i="26"/>
  <c r="E64" i="26"/>
  <c r="D64" i="26"/>
  <c r="D63" i="26"/>
  <c r="K61" i="26"/>
  <c r="F61" i="26"/>
  <c r="N58" i="26"/>
  <c r="D58" i="26"/>
  <c r="D57" i="26"/>
  <c r="D56" i="26"/>
  <c r="I55" i="26"/>
  <c r="D55" i="26"/>
  <c r="I54" i="26"/>
  <c r="D54" i="26"/>
  <c r="H53" i="26"/>
  <c r="D53" i="26"/>
  <c r="H52" i="26"/>
  <c r="D52" i="26" s="1"/>
  <c r="D51" i="26"/>
  <c r="D50" i="26"/>
  <c r="D49" i="26"/>
  <c r="D48" i="26"/>
  <c r="E9" i="26"/>
  <c r="Q44" i="26"/>
  <c r="D44" i="26" s="1"/>
  <c r="P43" i="26"/>
  <c r="D43" i="26" s="1"/>
  <c r="D42" i="26"/>
  <c r="O41" i="26"/>
  <c r="O9" i="26" s="1"/>
  <c r="O5" i="26" s="1"/>
  <c r="N40" i="26"/>
  <c r="D40" i="26" s="1"/>
  <c r="D39" i="26"/>
  <c r="M38" i="26"/>
  <c r="M9" i="26" s="1"/>
  <c r="M5" i="26" s="1"/>
  <c r="D37" i="26"/>
  <c r="L36" i="26"/>
  <c r="L9" i="26" s="1"/>
  <c r="K35" i="26"/>
  <c r="D35" i="26" s="1"/>
  <c r="J34" i="26"/>
  <c r="D34" i="26" s="1"/>
  <c r="I33" i="26"/>
  <c r="D33" i="26" s="1"/>
  <c r="H32" i="26"/>
  <c r="D32" i="26" s="1"/>
  <c r="D28" i="26"/>
  <c r="D27" i="26"/>
  <c r="D26" i="26"/>
  <c r="D25" i="26"/>
  <c r="D24" i="26"/>
  <c r="D23" i="26"/>
  <c r="D22" i="26"/>
  <c r="D21" i="26"/>
  <c r="D20" i="26"/>
  <c r="D19" i="26"/>
  <c r="D18" i="26"/>
  <c r="D17" i="26"/>
  <c r="D16" i="26"/>
  <c r="H15" i="26"/>
  <c r="D15" i="26"/>
  <c r="E7" i="26"/>
  <c r="D13" i="26"/>
  <c r="R7" i="26"/>
  <c r="Q7" i="26"/>
  <c r="P7" i="26"/>
  <c r="O7" i="26"/>
  <c r="N7" i="26"/>
  <c r="M7" i="26"/>
  <c r="L7" i="26"/>
  <c r="K7" i="26"/>
  <c r="J7" i="26"/>
  <c r="I7" i="26"/>
  <c r="G5" i="26"/>
  <c r="BK11" i="15"/>
  <c r="BJ11" i="15"/>
  <c r="P75" i="24"/>
  <c r="N107" i="26" l="1"/>
  <c r="AG8" i="15"/>
  <c r="E11" i="26"/>
  <c r="E5" i="26" s="1"/>
  <c r="R11" i="26"/>
  <c r="D547" i="26"/>
  <c r="P5" i="26"/>
  <c r="Q9" i="26"/>
  <c r="Q5" i="26" s="1"/>
  <c r="D36" i="26"/>
  <c r="K9" i="26"/>
  <c r="K5" i="26" s="1"/>
  <c r="D38" i="26"/>
  <c r="L5" i="26"/>
  <c r="I5" i="26"/>
  <c r="J9" i="26"/>
  <c r="J5" i="26" s="1"/>
  <c r="N9" i="26"/>
  <c r="N5" i="26" s="1"/>
  <c r="D41" i="26"/>
  <c r="D47" i="26"/>
  <c r="F7" i="26"/>
  <c r="D7" i="26" s="1"/>
  <c r="F31" i="26"/>
  <c r="D14" i="26"/>
  <c r="H5" i="26"/>
  <c r="D137" i="26"/>
  <c r="D448" i="26"/>
  <c r="E547" i="26" s="1"/>
  <c r="S66" i="24"/>
  <c r="S69" i="24"/>
  <c r="H69" i="24"/>
  <c r="D69" i="24" s="1"/>
  <c r="D11" i="26" l="1"/>
  <c r="S81" i="26" s="1"/>
  <c r="D83" i="26"/>
  <c r="S83" i="26" s="1"/>
  <c r="D552" i="26"/>
  <c r="E552" i="26" s="1"/>
  <c r="S20" i="26"/>
  <c r="S19" i="26"/>
  <c r="S25" i="26"/>
  <c r="S21" i="26"/>
  <c r="S15" i="26"/>
  <c r="S22" i="26"/>
  <c r="S23" i="26"/>
  <c r="S24" i="26"/>
  <c r="S26" i="26"/>
  <c r="S13" i="26"/>
  <c r="S7" i="26" s="1"/>
  <c r="S17" i="26"/>
  <c r="S18" i="26"/>
  <c r="S16" i="26"/>
  <c r="S27" i="26"/>
  <c r="S14" i="26"/>
  <c r="D31" i="26"/>
  <c r="F5" i="26"/>
  <c r="S82" i="26"/>
  <c r="W10" i="14"/>
  <c r="BG10" i="20"/>
  <c r="BF10" i="20"/>
  <c r="BB10" i="20"/>
  <c r="BA10" i="20"/>
  <c r="AW10" i="20"/>
  <c r="AV10" i="20"/>
  <c r="AR10" i="20"/>
  <c r="AQ10" i="20"/>
  <c r="AM10" i="20"/>
  <c r="AL10" i="20"/>
  <c r="AB10" i="20"/>
  <c r="X10" i="20"/>
  <c r="W10" i="20"/>
  <c r="BA10" i="13"/>
  <c r="AW10" i="13"/>
  <c r="AV10" i="13"/>
  <c r="AB10" i="13"/>
  <c r="W10" i="13"/>
  <c r="E66" i="24"/>
  <c r="D66" i="24" s="1"/>
  <c r="P78" i="24"/>
  <c r="D78" i="24" s="1"/>
  <c r="E65" i="24"/>
  <c r="F67" i="24"/>
  <c r="N73" i="24"/>
  <c r="D73" i="24" s="1"/>
  <c r="P76" i="24"/>
  <c r="E64" i="24"/>
  <c r="E81" i="24"/>
  <c r="N74" i="24"/>
  <c r="K61" i="24"/>
  <c r="N58" i="24"/>
  <c r="D121" i="24"/>
  <c r="H9" i="25"/>
  <c r="M9" i="25"/>
  <c r="W48" i="14" l="1"/>
  <c r="S11" i="26"/>
  <c r="I55" i="24"/>
  <c r="I54" i="24"/>
  <c r="H53" i="24"/>
  <c r="H52" i="24"/>
  <c r="E47" i="24"/>
  <c r="M38" i="24"/>
  <c r="K35" i="24"/>
  <c r="Q44" i="24"/>
  <c r="P43" i="24"/>
  <c r="O41" i="24"/>
  <c r="N40" i="24"/>
  <c r="L36" i="24"/>
  <c r="R9" i="26" l="1"/>
  <c r="J34" i="24"/>
  <c r="J9" i="24" s="1"/>
  <c r="H433" i="25"/>
  <c r="H423" i="25"/>
  <c r="H415" i="25"/>
  <c r="H404" i="25"/>
  <c r="H395" i="25"/>
  <c r="H383" i="25"/>
  <c r="H377" i="25"/>
  <c r="I377" i="25"/>
  <c r="H368" i="25"/>
  <c r="H362" i="25"/>
  <c r="H355" i="25"/>
  <c r="H349" i="25"/>
  <c r="H342" i="25"/>
  <c r="I342" i="25"/>
  <c r="H334" i="25"/>
  <c r="H308" i="25"/>
  <c r="H287" i="25"/>
  <c r="H264" i="25"/>
  <c r="H245" i="25"/>
  <c r="H225" i="25"/>
  <c r="H203" i="25"/>
  <c r="H181" i="25"/>
  <c r="H163" i="25"/>
  <c r="H143" i="25"/>
  <c r="H119" i="25"/>
  <c r="H95" i="25"/>
  <c r="H76" i="25"/>
  <c r="H67" i="25"/>
  <c r="H47" i="25"/>
  <c r="H25" i="25"/>
  <c r="G308" i="25"/>
  <c r="H670" i="25"/>
  <c r="H668" i="25"/>
  <c r="H666" i="25"/>
  <c r="H664" i="25"/>
  <c r="H662" i="25"/>
  <c r="H660" i="25"/>
  <c r="H658" i="25"/>
  <c r="H656" i="25"/>
  <c r="H654" i="25"/>
  <c r="H652" i="25"/>
  <c r="H650" i="25"/>
  <c r="H648" i="25"/>
  <c r="H646" i="25"/>
  <c r="H644" i="25"/>
  <c r="H642" i="25"/>
  <c r="H640" i="25"/>
  <c r="H638" i="25"/>
  <c r="H636" i="25"/>
  <c r="H634" i="25"/>
  <c r="H632" i="25"/>
  <c r="H630" i="25"/>
  <c r="H628" i="25"/>
  <c r="H626" i="25"/>
  <c r="H624" i="25"/>
  <c r="H622" i="25"/>
  <c r="H620" i="25"/>
  <c r="H618" i="25"/>
  <c r="H616" i="25"/>
  <c r="H614" i="25"/>
  <c r="H612" i="25"/>
  <c r="C609" i="25"/>
  <c r="C608" i="25"/>
  <c r="C610" i="25" s="1"/>
  <c r="C611" i="25" s="1"/>
  <c r="C603" i="25"/>
  <c r="H598" i="25"/>
  <c r="H596" i="25"/>
  <c r="H594" i="25"/>
  <c r="H592" i="25"/>
  <c r="H590" i="25"/>
  <c r="H588" i="25"/>
  <c r="H586" i="25"/>
  <c r="H584" i="25"/>
  <c r="H582" i="25"/>
  <c r="H580" i="25"/>
  <c r="H578" i="25"/>
  <c r="H576" i="25"/>
  <c r="H574" i="25"/>
  <c r="H572" i="25"/>
  <c r="H570" i="25"/>
  <c r="H568" i="25"/>
  <c r="H566" i="25"/>
  <c r="H564" i="25"/>
  <c r="H562" i="25"/>
  <c r="H560" i="25"/>
  <c r="H558" i="25"/>
  <c r="H556" i="25"/>
  <c r="H554" i="25"/>
  <c r="H552" i="25"/>
  <c r="H550" i="25"/>
  <c r="H548" i="25"/>
  <c r="H546" i="25"/>
  <c r="H544" i="25"/>
  <c r="H542" i="25"/>
  <c r="H540" i="25"/>
  <c r="H538" i="25"/>
  <c r="H536" i="25"/>
  <c r="H534" i="25"/>
  <c r="H532" i="25"/>
  <c r="H530" i="25"/>
  <c r="H528" i="25"/>
  <c r="H526" i="25"/>
  <c r="H524" i="25"/>
  <c r="H522" i="25"/>
  <c r="H520" i="25"/>
  <c r="H518" i="25"/>
  <c r="H516" i="25"/>
  <c r="H514" i="25"/>
  <c r="H512" i="25"/>
  <c r="H510" i="25"/>
  <c r="H508" i="25"/>
  <c r="H506" i="25"/>
  <c r="H504" i="25"/>
  <c r="H502" i="25"/>
  <c r="H500" i="25"/>
  <c r="H498" i="25"/>
  <c r="C497" i="25"/>
  <c r="H496" i="25"/>
  <c r="H494" i="25"/>
  <c r="H492" i="25"/>
  <c r="H490" i="25"/>
  <c r="H488" i="25"/>
  <c r="H486" i="25"/>
  <c r="H484" i="25"/>
  <c r="H482" i="25"/>
  <c r="H480" i="25"/>
  <c r="H478" i="25"/>
  <c r="H476" i="25"/>
  <c r="H474" i="25"/>
  <c r="H472" i="25"/>
  <c r="H470" i="25"/>
  <c r="H468" i="25"/>
  <c r="H466" i="25"/>
  <c r="H464" i="25"/>
  <c r="H462" i="25"/>
  <c r="H460" i="25"/>
  <c r="H458" i="25"/>
  <c r="H456" i="25"/>
  <c r="H454" i="25"/>
  <c r="H452" i="25"/>
  <c r="H450" i="25"/>
  <c r="H448" i="25"/>
  <c r="J446" i="25"/>
  <c r="H446" i="25"/>
  <c r="J444" i="25"/>
  <c r="H444" i="25"/>
  <c r="J442" i="25"/>
  <c r="H442" i="25"/>
  <c r="C441" i="25"/>
  <c r="J437" i="25"/>
  <c r="M437" i="25" s="1"/>
  <c r="N433" i="25"/>
  <c r="E433" i="25"/>
  <c r="D433" i="25"/>
  <c r="C433" i="25"/>
  <c r="L431" i="25"/>
  <c r="F431" i="25"/>
  <c r="M430" i="25"/>
  <c r="K430" i="25"/>
  <c r="J430" i="25"/>
  <c r="I430" i="25"/>
  <c r="F430" i="25"/>
  <c r="M429" i="25"/>
  <c r="K429" i="25"/>
  <c r="O431" i="25" s="1"/>
  <c r="J429" i="25"/>
  <c r="I429" i="25"/>
  <c r="F429" i="25"/>
  <c r="K428" i="25"/>
  <c r="J428" i="25"/>
  <c r="I428" i="25"/>
  <c r="M428" i="25"/>
  <c r="F428" i="25"/>
  <c r="O427" i="25"/>
  <c r="L427" i="25"/>
  <c r="F427" i="25"/>
  <c r="O426" i="25"/>
  <c r="K426" i="25"/>
  <c r="J426" i="25"/>
  <c r="I426" i="25"/>
  <c r="G426" i="25"/>
  <c r="O423" i="25"/>
  <c r="N423" i="25"/>
  <c r="E423" i="25"/>
  <c r="D423" i="25"/>
  <c r="C423" i="25"/>
  <c r="M421" i="25"/>
  <c r="K421" i="25"/>
  <c r="J421" i="25"/>
  <c r="I421" i="25"/>
  <c r="F421" i="25"/>
  <c r="M420" i="25"/>
  <c r="K420" i="25"/>
  <c r="J420" i="25"/>
  <c r="I420" i="25"/>
  <c r="F420" i="25"/>
  <c r="M419" i="25"/>
  <c r="L419" i="25"/>
  <c r="F419" i="25"/>
  <c r="M418" i="25"/>
  <c r="K418" i="25"/>
  <c r="J418" i="25"/>
  <c r="I418" i="25"/>
  <c r="G423" i="25"/>
  <c r="F418" i="25"/>
  <c r="N415" i="25"/>
  <c r="J415" i="25"/>
  <c r="I415" i="25"/>
  <c r="E415" i="25"/>
  <c r="D415" i="25"/>
  <c r="C415" i="25"/>
  <c r="K413" i="25"/>
  <c r="G413" i="25"/>
  <c r="F413" i="25"/>
  <c r="K412" i="25"/>
  <c r="F412" i="25"/>
  <c r="M411" i="25"/>
  <c r="L411" i="25"/>
  <c r="F411" i="25"/>
  <c r="M410" i="25"/>
  <c r="L410" i="25"/>
  <c r="F410" i="25"/>
  <c r="O409" i="25"/>
  <c r="O415" i="25" s="1"/>
  <c r="K409" i="25"/>
  <c r="G409" i="25"/>
  <c r="F409" i="25"/>
  <c r="O408" i="25"/>
  <c r="K408" i="25"/>
  <c r="G408" i="25"/>
  <c r="F408" i="25"/>
  <c r="L407" i="25"/>
  <c r="F407" i="25"/>
  <c r="N404" i="25"/>
  <c r="E404" i="25"/>
  <c r="D404" i="25"/>
  <c r="C404" i="25"/>
  <c r="K402" i="25"/>
  <c r="J402" i="25"/>
  <c r="I402" i="25"/>
  <c r="F402" i="25"/>
  <c r="M401" i="25"/>
  <c r="L401" i="25"/>
  <c r="F401" i="25"/>
  <c r="M400" i="25"/>
  <c r="K400" i="25"/>
  <c r="J400" i="25"/>
  <c r="I400" i="25"/>
  <c r="F400" i="25"/>
  <c r="O399" i="25"/>
  <c r="O404" i="25" s="1"/>
  <c r="K399" i="25"/>
  <c r="J399" i="25"/>
  <c r="I399" i="25"/>
  <c r="G399" i="25"/>
  <c r="G404" i="25" s="1"/>
  <c r="F399" i="25"/>
  <c r="L398" i="25"/>
  <c r="F398" i="25"/>
  <c r="O395" i="25"/>
  <c r="N395" i="25"/>
  <c r="E395" i="25"/>
  <c r="D395" i="25"/>
  <c r="C395" i="25"/>
  <c r="M393" i="25"/>
  <c r="K393" i="25"/>
  <c r="J393" i="25"/>
  <c r="I393" i="25"/>
  <c r="F393" i="25"/>
  <c r="M392" i="25"/>
  <c r="K392" i="25"/>
  <c r="J392" i="25"/>
  <c r="I392" i="25"/>
  <c r="F392" i="25"/>
  <c r="M391" i="25"/>
  <c r="K391" i="25"/>
  <c r="J391" i="25"/>
  <c r="I391" i="25"/>
  <c r="F391" i="25"/>
  <c r="K390" i="25"/>
  <c r="J390" i="25"/>
  <c r="I390" i="25"/>
  <c r="F390" i="25"/>
  <c r="M389" i="25"/>
  <c r="L389" i="25"/>
  <c r="F389" i="25"/>
  <c r="M388" i="25"/>
  <c r="K388" i="25"/>
  <c r="J388" i="25"/>
  <c r="I388" i="25"/>
  <c r="K387" i="25"/>
  <c r="J387" i="25"/>
  <c r="I387" i="25"/>
  <c r="M387" i="25"/>
  <c r="F387" i="25"/>
  <c r="K386" i="25"/>
  <c r="J386" i="25"/>
  <c r="I386" i="25"/>
  <c r="M386" i="25"/>
  <c r="F386" i="25"/>
  <c r="O383" i="25"/>
  <c r="N383" i="25"/>
  <c r="J383" i="25"/>
  <c r="I383" i="25"/>
  <c r="E383" i="25"/>
  <c r="C383" i="25"/>
  <c r="K381" i="25"/>
  <c r="K383" i="25" s="1"/>
  <c r="M381" i="25"/>
  <c r="F381" i="25"/>
  <c r="D381" i="25"/>
  <c r="M380" i="25"/>
  <c r="F380" i="25"/>
  <c r="O377" i="25"/>
  <c r="N377" i="25"/>
  <c r="J377" i="25"/>
  <c r="E377" i="25"/>
  <c r="D377" i="25"/>
  <c r="M375" i="25"/>
  <c r="M374" i="25"/>
  <c r="F374" i="25"/>
  <c r="M373" i="25"/>
  <c r="L373" i="25"/>
  <c r="F373" i="25"/>
  <c r="K372" i="25"/>
  <c r="F372" i="25"/>
  <c r="C372" i="25"/>
  <c r="C377" i="25" s="1"/>
  <c r="K371" i="25"/>
  <c r="M371" i="25"/>
  <c r="O368" i="25"/>
  <c r="N368" i="25"/>
  <c r="I368" i="25"/>
  <c r="F368" i="25"/>
  <c r="E368" i="25"/>
  <c r="D368" i="25"/>
  <c r="C368" i="25"/>
  <c r="K366" i="25"/>
  <c r="J366" i="25"/>
  <c r="M366" i="25"/>
  <c r="M365" i="25"/>
  <c r="K365" i="25"/>
  <c r="J365" i="25"/>
  <c r="O362" i="25"/>
  <c r="N362" i="25"/>
  <c r="I362" i="25"/>
  <c r="E362" i="25"/>
  <c r="D362" i="25"/>
  <c r="C362" i="25"/>
  <c r="K360" i="25"/>
  <c r="J360" i="25"/>
  <c r="M360" i="25"/>
  <c r="F360" i="25"/>
  <c r="F362" i="25" s="1"/>
  <c r="M359" i="25"/>
  <c r="K359" i="25"/>
  <c r="J359" i="25"/>
  <c r="M358" i="25"/>
  <c r="O355" i="25"/>
  <c r="N355" i="25"/>
  <c r="I355" i="25"/>
  <c r="G355" i="25"/>
  <c r="E355" i="25"/>
  <c r="D355" i="25"/>
  <c r="C355" i="25"/>
  <c r="K353" i="25"/>
  <c r="J353" i="25"/>
  <c r="J355" i="25" s="1"/>
  <c r="M353" i="25"/>
  <c r="F353" i="25"/>
  <c r="K352" i="25"/>
  <c r="J352" i="25"/>
  <c r="M352" i="25"/>
  <c r="F352" i="25"/>
  <c r="O349" i="25"/>
  <c r="N349" i="25"/>
  <c r="J349" i="25"/>
  <c r="I349" i="25"/>
  <c r="G349" i="25"/>
  <c r="F349" i="25"/>
  <c r="E349" i="25"/>
  <c r="D349" i="25"/>
  <c r="C349" i="25"/>
  <c r="K347" i="25"/>
  <c r="L347" i="25" s="1"/>
  <c r="K346" i="25"/>
  <c r="K345" i="25"/>
  <c r="L345" i="25" s="1"/>
  <c r="O342" i="25"/>
  <c r="N342" i="25"/>
  <c r="K342" i="25"/>
  <c r="J342" i="25"/>
  <c r="F342" i="25"/>
  <c r="E342" i="25"/>
  <c r="D342" i="25"/>
  <c r="C342" i="25"/>
  <c r="M340" i="25"/>
  <c r="L340" i="25"/>
  <c r="N334" i="25"/>
  <c r="D334" i="25"/>
  <c r="C334" i="25"/>
  <c r="O332" i="25"/>
  <c r="L332" i="25"/>
  <c r="O331" i="25"/>
  <c r="L331" i="25"/>
  <c r="O330" i="25"/>
  <c r="L330" i="25"/>
  <c r="F330" i="25"/>
  <c r="E330" i="25"/>
  <c r="O329" i="25"/>
  <c r="L329" i="25"/>
  <c r="F329" i="25"/>
  <c r="O328" i="25"/>
  <c r="L328" i="25"/>
  <c r="F328" i="25"/>
  <c r="E328" i="25"/>
  <c r="O327" i="25"/>
  <c r="F327" i="25"/>
  <c r="G326" i="25"/>
  <c r="E326" i="25"/>
  <c r="O325" i="25"/>
  <c r="L325" i="25"/>
  <c r="F325" i="25"/>
  <c r="O324" i="25"/>
  <c r="L324" i="25"/>
  <c r="F324" i="25"/>
  <c r="O323" i="25"/>
  <c r="L323" i="25"/>
  <c r="F323" i="25"/>
  <c r="O322" i="25"/>
  <c r="L322" i="25"/>
  <c r="F322" i="25"/>
  <c r="E322" i="25"/>
  <c r="O321" i="25"/>
  <c r="L321" i="25"/>
  <c r="F321" i="25"/>
  <c r="O320" i="25"/>
  <c r="L320" i="25"/>
  <c r="F320" i="25"/>
  <c r="O319" i="25"/>
  <c r="L319" i="25"/>
  <c r="F319" i="25"/>
  <c r="O318" i="25"/>
  <c r="L318" i="25"/>
  <c r="F318" i="25"/>
  <c r="O317" i="25"/>
  <c r="L317" i="25"/>
  <c r="F317" i="25"/>
  <c r="K316" i="25"/>
  <c r="J316" i="25"/>
  <c r="I316" i="25"/>
  <c r="G316" i="25"/>
  <c r="L316" i="25" s="1"/>
  <c r="F316" i="25"/>
  <c r="M315" i="25"/>
  <c r="M334" i="25" s="1"/>
  <c r="F315" i="25"/>
  <c r="O314" i="25"/>
  <c r="F314" i="25"/>
  <c r="O312" i="25"/>
  <c r="L312" i="25"/>
  <c r="F312" i="25"/>
  <c r="O311" i="25"/>
  <c r="L311" i="25"/>
  <c r="F311" i="25"/>
  <c r="N308" i="25"/>
  <c r="J308" i="25"/>
  <c r="I308" i="25"/>
  <c r="D308" i="25"/>
  <c r="C308" i="25"/>
  <c r="O306" i="25"/>
  <c r="L306" i="25"/>
  <c r="F306" i="25"/>
  <c r="E306" i="25"/>
  <c r="O305" i="25"/>
  <c r="L305" i="25"/>
  <c r="F305" i="25"/>
  <c r="O304" i="25"/>
  <c r="L304" i="25"/>
  <c r="F304" i="25"/>
  <c r="E303" i="25"/>
  <c r="E308" i="25" s="1"/>
  <c r="O302" i="25"/>
  <c r="L302" i="25"/>
  <c r="F302" i="25"/>
  <c r="O301" i="25"/>
  <c r="L301" i="25"/>
  <c r="F301" i="25"/>
  <c r="K300" i="25"/>
  <c r="L300" i="25" s="1"/>
  <c r="F300" i="25"/>
  <c r="K299" i="25"/>
  <c r="F299" i="25"/>
  <c r="O298" i="25"/>
  <c r="L298" i="25"/>
  <c r="F298" i="25"/>
  <c r="O297" i="25"/>
  <c r="L297" i="25"/>
  <c r="F297" i="25"/>
  <c r="O296" i="25"/>
  <c r="L296" i="25"/>
  <c r="F296" i="25"/>
  <c r="O295" i="25"/>
  <c r="L295" i="25"/>
  <c r="F295" i="25"/>
  <c r="O294" i="25"/>
  <c r="L294" i="25"/>
  <c r="F294" i="25"/>
  <c r="F293" i="25"/>
  <c r="O292" i="25"/>
  <c r="L292" i="25"/>
  <c r="F292" i="25"/>
  <c r="O290" i="25"/>
  <c r="L290" i="25"/>
  <c r="F290" i="25"/>
  <c r="O287" i="25"/>
  <c r="N287" i="25"/>
  <c r="D287" i="25"/>
  <c r="C287" i="25"/>
  <c r="M285" i="25"/>
  <c r="J285" i="25"/>
  <c r="L285" i="25" s="1"/>
  <c r="F285" i="25"/>
  <c r="M284" i="25"/>
  <c r="J284" i="25"/>
  <c r="L284" i="25" s="1"/>
  <c r="M283" i="25"/>
  <c r="J283" i="25"/>
  <c r="L283" i="25" s="1"/>
  <c r="F283" i="25"/>
  <c r="E283" i="25"/>
  <c r="M282" i="25"/>
  <c r="J282" i="25"/>
  <c r="L282" i="25" s="1"/>
  <c r="M281" i="25"/>
  <c r="J281" i="25"/>
  <c r="L281" i="25" s="1"/>
  <c r="F281" i="25"/>
  <c r="M280" i="25"/>
  <c r="E280" i="25"/>
  <c r="M279" i="25"/>
  <c r="J279" i="25"/>
  <c r="L279" i="25" s="1"/>
  <c r="M278" i="25"/>
  <c r="J278" i="25"/>
  <c r="L278" i="25" s="1"/>
  <c r="F278" i="25"/>
  <c r="M277" i="25"/>
  <c r="J277" i="25"/>
  <c r="L277" i="25" s="1"/>
  <c r="F277" i="25"/>
  <c r="M276" i="25"/>
  <c r="J276" i="25"/>
  <c r="L276" i="25" s="1"/>
  <c r="F276" i="25"/>
  <c r="M275" i="25"/>
  <c r="J275" i="25"/>
  <c r="L275" i="25" s="1"/>
  <c r="F275" i="25"/>
  <c r="M274" i="25"/>
  <c r="J274" i="25"/>
  <c r="L274" i="25" s="1"/>
  <c r="F274" i="25"/>
  <c r="M273" i="25"/>
  <c r="J273" i="25"/>
  <c r="L273" i="25" s="1"/>
  <c r="F273" i="25"/>
  <c r="M272" i="25"/>
  <c r="J272" i="25"/>
  <c r="L272" i="25" s="1"/>
  <c r="F272" i="25"/>
  <c r="M271" i="25"/>
  <c r="J271" i="25"/>
  <c r="L271" i="25" s="1"/>
  <c r="F271" i="25"/>
  <c r="M270" i="25"/>
  <c r="J270" i="25"/>
  <c r="I270" i="25"/>
  <c r="F270" i="25"/>
  <c r="M269" i="25"/>
  <c r="J269" i="25"/>
  <c r="I269" i="25"/>
  <c r="F269" i="25"/>
  <c r="M267" i="25"/>
  <c r="K267" i="25"/>
  <c r="K287" i="25" s="1"/>
  <c r="J267" i="25"/>
  <c r="I267" i="25"/>
  <c r="G287" i="25"/>
  <c r="F267" i="25"/>
  <c r="O264" i="25"/>
  <c r="N264" i="25"/>
  <c r="G264" i="25"/>
  <c r="E264" i="25"/>
  <c r="D264" i="25"/>
  <c r="C264" i="25"/>
  <c r="M262" i="25"/>
  <c r="L262" i="25"/>
  <c r="F262" i="25"/>
  <c r="M261" i="25"/>
  <c r="L261" i="25"/>
  <c r="F261" i="25"/>
  <c r="M260" i="25"/>
  <c r="L260" i="25"/>
  <c r="F260" i="25"/>
  <c r="M259" i="25"/>
  <c r="L259" i="25"/>
  <c r="F259" i="25"/>
  <c r="M258" i="25"/>
  <c r="L258" i="25"/>
  <c r="F258" i="25"/>
  <c r="M257" i="25"/>
  <c r="L257" i="25"/>
  <c r="F257" i="25"/>
  <c r="M256" i="25"/>
  <c r="L256" i="25"/>
  <c r="F256" i="25"/>
  <c r="M255" i="25"/>
  <c r="L255" i="25"/>
  <c r="F255" i="25"/>
  <c r="M254" i="25"/>
  <c r="L254" i="25"/>
  <c r="M253" i="25"/>
  <c r="F253" i="25"/>
  <c r="M252" i="25"/>
  <c r="L252" i="25"/>
  <c r="F252" i="25"/>
  <c r="M250" i="25"/>
  <c r="L250" i="25"/>
  <c r="F250" i="25"/>
  <c r="M249" i="25"/>
  <c r="L249" i="25"/>
  <c r="F249" i="25"/>
  <c r="M248" i="25"/>
  <c r="L248" i="25"/>
  <c r="F248" i="25"/>
  <c r="N245" i="25"/>
  <c r="D245" i="25"/>
  <c r="C245" i="25"/>
  <c r="K243" i="25"/>
  <c r="J243" i="25"/>
  <c r="I243" i="25"/>
  <c r="M243" i="25"/>
  <c r="F243" i="25"/>
  <c r="E243" i="25"/>
  <c r="M242" i="25"/>
  <c r="F242" i="25"/>
  <c r="E242" i="25"/>
  <c r="O241" i="25"/>
  <c r="L241" i="25"/>
  <c r="F241" i="25"/>
  <c r="O240" i="25"/>
  <c r="L240" i="25"/>
  <c r="F240" i="25"/>
  <c r="O239" i="25"/>
  <c r="L239" i="25"/>
  <c r="F239" i="25"/>
  <c r="O238" i="25"/>
  <c r="L238" i="25"/>
  <c r="F238" i="25"/>
  <c r="O237" i="25"/>
  <c r="L237" i="25"/>
  <c r="F237" i="25"/>
  <c r="O236" i="25"/>
  <c r="L236" i="25"/>
  <c r="F236" i="25"/>
  <c r="O235" i="25"/>
  <c r="L235" i="25"/>
  <c r="F235" i="25"/>
  <c r="O234" i="25"/>
  <c r="L234" i="25"/>
  <c r="F234" i="25"/>
  <c r="O233" i="25"/>
  <c r="L233" i="25"/>
  <c r="F233" i="25"/>
  <c r="F232" i="25"/>
  <c r="O231" i="25"/>
  <c r="L231" i="25"/>
  <c r="F231" i="25"/>
  <c r="O229" i="25"/>
  <c r="L229" i="25"/>
  <c r="F229" i="25"/>
  <c r="O228" i="25"/>
  <c r="L228" i="25"/>
  <c r="F228" i="25"/>
  <c r="N225" i="25"/>
  <c r="K223" i="25"/>
  <c r="L223" i="25" s="1"/>
  <c r="F223" i="25"/>
  <c r="E223" i="25"/>
  <c r="L222" i="25"/>
  <c r="F222" i="25"/>
  <c r="L221" i="25"/>
  <c r="F221" i="25"/>
  <c r="E220" i="25"/>
  <c r="E225" i="25" s="1"/>
  <c r="M219" i="25"/>
  <c r="K219" i="25"/>
  <c r="J219" i="25"/>
  <c r="I219" i="25"/>
  <c r="F219" i="25"/>
  <c r="M218" i="25"/>
  <c r="K218" i="25"/>
  <c r="J218" i="25"/>
  <c r="I218" i="25"/>
  <c r="F218" i="25"/>
  <c r="C218" i="25"/>
  <c r="M217" i="25"/>
  <c r="L217" i="25"/>
  <c r="F217" i="25"/>
  <c r="C217" i="25"/>
  <c r="M216" i="25"/>
  <c r="L216" i="25"/>
  <c r="F216" i="25"/>
  <c r="C216" i="25"/>
  <c r="M215" i="25"/>
  <c r="L215" i="25"/>
  <c r="F215" i="25"/>
  <c r="D215" i="25"/>
  <c r="D225" i="25" s="1"/>
  <c r="C215" i="25"/>
  <c r="M214" i="25"/>
  <c r="L214" i="25"/>
  <c r="F214" i="25"/>
  <c r="M213" i="25"/>
  <c r="L213" i="25"/>
  <c r="F213" i="25"/>
  <c r="M212" i="25"/>
  <c r="L212" i="25"/>
  <c r="F212" i="25"/>
  <c r="K211" i="25"/>
  <c r="J211" i="25"/>
  <c r="I211" i="25"/>
  <c r="M211" i="25"/>
  <c r="F211" i="25"/>
  <c r="M210" i="25"/>
  <c r="F210" i="25"/>
  <c r="C210" i="25"/>
  <c r="O209" i="25"/>
  <c r="L209" i="25"/>
  <c r="F209" i="25"/>
  <c r="O207" i="25"/>
  <c r="L207" i="25"/>
  <c r="F207" i="25"/>
  <c r="O206" i="25"/>
  <c r="K206" i="25"/>
  <c r="J206" i="25"/>
  <c r="I206" i="25"/>
  <c r="G206" i="25"/>
  <c r="G225" i="25" s="1"/>
  <c r="F206" i="25"/>
  <c r="O203" i="25"/>
  <c r="N203" i="25"/>
  <c r="D203" i="25"/>
  <c r="K201" i="25"/>
  <c r="L201" i="25" s="1"/>
  <c r="M201" i="25"/>
  <c r="F201" i="25"/>
  <c r="M200" i="25"/>
  <c r="L200" i="25"/>
  <c r="F200" i="25"/>
  <c r="E200" i="25"/>
  <c r="M199" i="25"/>
  <c r="E199" i="25"/>
  <c r="E203" i="25" s="1"/>
  <c r="M198" i="25"/>
  <c r="K198" i="25"/>
  <c r="J198" i="25"/>
  <c r="I198" i="25"/>
  <c r="F198" i="25"/>
  <c r="K197" i="25"/>
  <c r="J197" i="25"/>
  <c r="I197" i="25"/>
  <c r="M197" i="25"/>
  <c r="F197" i="25"/>
  <c r="C197" i="25"/>
  <c r="M196" i="25"/>
  <c r="L196" i="25"/>
  <c r="F196" i="25"/>
  <c r="C196" i="25"/>
  <c r="M195" i="25"/>
  <c r="K195" i="25"/>
  <c r="J195" i="25"/>
  <c r="I195" i="25"/>
  <c r="F195" i="25"/>
  <c r="C195" i="25"/>
  <c r="M194" i="25"/>
  <c r="L194" i="25"/>
  <c r="F194" i="25"/>
  <c r="C194" i="25"/>
  <c r="M193" i="25"/>
  <c r="L193" i="25"/>
  <c r="F193" i="25"/>
  <c r="C193" i="25"/>
  <c r="M192" i="25"/>
  <c r="L192" i="25"/>
  <c r="F192" i="25"/>
  <c r="M191" i="25"/>
  <c r="L191" i="25"/>
  <c r="F191" i="25"/>
  <c r="M190" i="25"/>
  <c r="L190" i="25"/>
  <c r="F190" i="25"/>
  <c r="F189" i="25"/>
  <c r="C189" i="25"/>
  <c r="M188" i="25"/>
  <c r="L188" i="25"/>
  <c r="F188" i="25"/>
  <c r="C188" i="25"/>
  <c r="M186" i="25"/>
  <c r="L186" i="25"/>
  <c r="F186" i="25"/>
  <c r="M185" i="25"/>
  <c r="L185" i="25"/>
  <c r="F185" i="25"/>
  <c r="M184" i="25"/>
  <c r="L184" i="25"/>
  <c r="F184" i="25"/>
  <c r="N181" i="25"/>
  <c r="G181" i="25"/>
  <c r="D181" i="25"/>
  <c r="M179" i="25"/>
  <c r="E179" i="25"/>
  <c r="E181" i="25" s="1"/>
  <c r="M178" i="25"/>
  <c r="K178" i="25"/>
  <c r="J178" i="25"/>
  <c r="I178" i="25"/>
  <c r="F178" i="25"/>
  <c r="M177" i="25"/>
  <c r="F177" i="25"/>
  <c r="C177" i="25"/>
  <c r="M176" i="25"/>
  <c r="L176" i="25"/>
  <c r="F176" i="25"/>
  <c r="M175" i="25"/>
  <c r="K175" i="25"/>
  <c r="J175" i="25"/>
  <c r="I175" i="25"/>
  <c r="F175" i="25"/>
  <c r="C175" i="25"/>
  <c r="M174" i="25"/>
  <c r="L174" i="25"/>
  <c r="F174" i="25"/>
  <c r="C174" i="25"/>
  <c r="K173" i="25"/>
  <c r="J173" i="25"/>
  <c r="I173" i="25"/>
  <c r="M173" i="25"/>
  <c r="F173" i="25"/>
  <c r="C173" i="25"/>
  <c r="O172" i="25"/>
  <c r="M172" i="25" s="1"/>
  <c r="L172" i="25"/>
  <c r="F172" i="25"/>
  <c r="O171" i="25"/>
  <c r="M171" i="25" s="1"/>
  <c r="L171" i="25"/>
  <c r="F171" i="25"/>
  <c r="K170" i="25"/>
  <c r="J170" i="25"/>
  <c r="I170" i="25"/>
  <c r="F170" i="25"/>
  <c r="M169" i="25"/>
  <c r="F169" i="25"/>
  <c r="C169" i="25"/>
  <c r="M168" i="25"/>
  <c r="L168" i="25"/>
  <c r="F168" i="25"/>
  <c r="C168" i="25"/>
  <c r="O166" i="25"/>
  <c r="L166" i="25"/>
  <c r="F166" i="25"/>
  <c r="N163" i="25"/>
  <c r="E163" i="25"/>
  <c r="D163" i="25"/>
  <c r="C163" i="25"/>
  <c r="K161" i="25"/>
  <c r="J161" i="25"/>
  <c r="I161" i="25"/>
  <c r="M161" i="25"/>
  <c r="F161" i="25"/>
  <c r="M160" i="25"/>
  <c r="E160" i="25"/>
  <c r="K159" i="25"/>
  <c r="J159" i="25"/>
  <c r="I159" i="25"/>
  <c r="M159" i="25"/>
  <c r="F159" i="25"/>
  <c r="M158" i="25"/>
  <c r="K158" i="25"/>
  <c r="J158" i="25"/>
  <c r="I158" i="25"/>
  <c r="F158" i="25"/>
  <c r="O157" i="25"/>
  <c r="M157" i="25" s="1"/>
  <c r="L157" i="25"/>
  <c r="F157" i="25"/>
  <c r="K156" i="25"/>
  <c r="J156" i="25"/>
  <c r="I156" i="25"/>
  <c r="M156" i="25"/>
  <c r="F156" i="25"/>
  <c r="O155" i="25"/>
  <c r="L155" i="25"/>
  <c r="F155" i="25"/>
  <c r="K154" i="25"/>
  <c r="J154" i="25"/>
  <c r="I154" i="25"/>
  <c r="M154" i="25"/>
  <c r="F154" i="25"/>
  <c r="O153" i="25"/>
  <c r="M153" i="25" s="1"/>
  <c r="L153" i="25"/>
  <c r="O152" i="25"/>
  <c r="M152" i="25" s="1"/>
  <c r="L152" i="25"/>
  <c r="F152" i="25"/>
  <c r="M151" i="25"/>
  <c r="K151" i="25"/>
  <c r="J151" i="25"/>
  <c r="I151" i="25"/>
  <c r="F151" i="25"/>
  <c r="F150" i="25"/>
  <c r="O149" i="25"/>
  <c r="L149" i="25"/>
  <c r="F149" i="25"/>
  <c r="O147" i="25"/>
  <c r="L147" i="25"/>
  <c r="F147" i="25"/>
  <c r="O146" i="25"/>
  <c r="L146" i="25"/>
  <c r="O143" i="25"/>
  <c r="N143" i="25"/>
  <c r="D143" i="25"/>
  <c r="C143" i="25"/>
  <c r="M141" i="25"/>
  <c r="L141" i="25"/>
  <c r="M140" i="25"/>
  <c r="M139" i="25"/>
  <c r="L139" i="25"/>
  <c r="M138" i="25"/>
  <c r="K137" i="25"/>
  <c r="J137" i="25"/>
  <c r="M137" i="25"/>
  <c r="M136" i="25"/>
  <c r="L136" i="25"/>
  <c r="E136" i="25"/>
  <c r="K135" i="25"/>
  <c r="J135" i="25"/>
  <c r="I135" i="25"/>
  <c r="M135" i="25"/>
  <c r="F135" i="25"/>
  <c r="M134" i="25"/>
  <c r="K134" i="25"/>
  <c r="J134" i="25"/>
  <c r="I134" i="25"/>
  <c r="F134" i="25"/>
  <c r="M133" i="25"/>
  <c r="K133" i="25"/>
  <c r="J133" i="25"/>
  <c r="I133" i="25"/>
  <c r="F133" i="25"/>
  <c r="K132" i="25"/>
  <c r="J132" i="25"/>
  <c r="I132" i="25"/>
  <c r="M132" i="25"/>
  <c r="F132" i="25"/>
  <c r="K131" i="25"/>
  <c r="J131" i="25"/>
  <c r="I131" i="25"/>
  <c r="M131" i="25"/>
  <c r="F131" i="25"/>
  <c r="M130" i="25"/>
  <c r="L130" i="25"/>
  <c r="F130" i="25"/>
  <c r="M129" i="25"/>
  <c r="L129" i="25"/>
  <c r="K128" i="25"/>
  <c r="J128" i="25"/>
  <c r="I128" i="25"/>
  <c r="M128" i="25"/>
  <c r="F128" i="25"/>
  <c r="K127" i="25"/>
  <c r="J127" i="25"/>
  <c r="I127" i="25"/>
  <c r="M127" i="25"/>
  <c r="M126" i="25"/>
  <c r="F126" i="25"/>
  <c r="M125" i="25"/>
  <c r="L125" i="25"/>
  <c r="F125" i="25"/>
  <c r="M123" i="25"/>
  <c r="L123" i="25"/>
  <c r="F123" i="25"/>
  <c r="K122" i="25"/>
  <c r="J122" i="25"/>
  <c r="I122" i="25"/>
  <c r="M122" i="25"/>
  <c r="F122" i="25"/>
  <c r="O119" i="25"/>
  <c r="N119" i="25"/>
  <c r="D119" i="25"/>
  <c r="K117" i="25"/>
  <c r="M117" i="25"/>
  <c r="F117" i="25"/>
  <c r="M116" i="25"/>
  <c r="L116" i="25"/>
  <c r="F116" i="25"/>
  <c r="M115" i="25"/>
  <c r="L115" i="25"/>
  <c r="E115" i="25"/>
  <c r="K114" i="25"/>
  <c r="J114" i="25"/>
  <c r="I114" i="25"/>
  <c r="M114" i="25"/>
  <c r="F114" i="25"/>
  <c r="M113" i="25"/>
  <c r="K113" i="25"/>
  <c r="J113" i="25"/>
  <c r="I113" i="25"/>
  <c r="L113" i="25" s="1"/>
  <c r="F113" i="25"/>
  <c r="C113" i="25"/>
  <c r="C119" i="25" s="1"/>
  <c r="M112" i="25"/>
  <c r="K112" i="25"/>
  <c r="J112" i="25"/>
  <c r="I112" i="25"/>
  <c r="F112" i="25"/>
  <c r="K111" i="25"/>
  <c r="J111" i="25"/>
  <c r="I111" i="25"/>
  <c r="M111" i="25"/>
  <c r="F111" i="25"/>
  <c r="K110" i="25"/>
  <c r="J110" i="25"/>
  <c r="I110" i="25"/>
  <c r="M110" i="25"/>
  <c r="F110" i="25"/>
  <c r="M109" i="25"/>
  <c r="K109" i="25"/>
  <c r="J109" i="25"/>
  <c r="I109" i="25"/>
  <c r="F109" i="25"/>
  <c r="M108" i="25"/>
  <c r="L108" i="25"/>
  <c r="F108" i="25"/>
  <c r="K107" i="25"/>
  <c r="J107" i="25"/>
  <c r="I107" i="25"/>
  <c r="M107" i="25"/>
  <c r="F107" i="25"/>
  <c r="M106" i="25"/>
  <c r="K106" i="25"/>
  <c r="J106" i="25"/>
  <c r="I106" i="25"/>
  <c r="F106" i="25"/>
  <c r="F105" i="25"/>
  <c r="K104" i="25"/>
  <c r="J104" i="25"/>
  <c r="I104" i="25"/>
  <c r="M104" i="25"/>
  <c r="F104" i="25"/>
  <c r="M102" i="25"/>
  <c r="L102" i="25"/>
  <c r="F102" i="25"/>
  <c r="K101" i="25"/>
  <c r="J101" i="25"/>
  <c r="I101" i="25"/>
  <c r="M101" i="25"/>
  <c r="F101" i="25"/>
  <c r="K100" i="25"/>
  <c r="J100" i="25"/>
  <c r="I100" i="25"/>
  <c r="M100" i="25"/>
  <c r="F100" i="25"/>
  <c r="M99" i="25"/>
  <c r="K99" i="25"/>
  <c r="J99" i="25"/>
  <c r="I99" i="25"/>
  <c r="F99" i="25"/>
  <c r="M98" i="25"/>
  <c r="K98" i="25"/>
  <c r="J98" i="25"/>
  <c r="I98" i="25"/>
  <c r="F98" i="25"/>
  <c r="O95" i="25"/>
  <c r="N95" i="25"/>
  <c r="J95" i="25"/>
  <c r="E95" i="25"/>
  <c r="D95" i="25"/>
  <c r="C95" i="25"/>
  <c r="M93" i="25"/>
  <c r="L93" i="25"/>
  <c r="M92" i="25"/>
  <c r="L92" i="25"/>
  <c r="M91" i="25"/>
  <c r="K91" i="25"/>
  <c r="L91" i="25" s="1"/>
  <c r="F91" i="25"/>
  <c r="M90" i="25"/>
  <c r="K90" i="25"/>
  <c r="L90" i="25" s="1"/>
  <c r="F90" i="25"/>
  <c r="M89" i="25"/>
  <c r="K89" i="25"/>
  <c r="L89" i="25" s="1"/>
  <c r="F89" i="25"/>
  <c r="K88" i="25"/>
  <c r="L88" i="25" s="1"/>
  <c r="M88" i="25"/>
  <c r="F88" i="25"/>
  <c r="M87" i="25"/>
  <c r="M86" i="25"/>
  <c r="M85" i="25"/>
  <c r="K85" i="25"/>
  <c r="L85" i="25" s="1"/>
  <c r="M84" i="25"/>
  <c r="L84" i="25"/>
  <c r="F84" i="25"/>
  <c r="M83" i="25"/>
  <c r="K83" i="25"/>
  <c r="L83" i="25" s="1"/>
  <c r="F83" i="25"/>
  <c r="M82" i="25"/>
  <c r="M81" i="25"/>
  <c r="F81" i="25"/>
  <c r="M80" i="25"/>
  <c r="L80" i="25"/>
  <c r="F80" i="25"/>
  <c r="K79" i="25"/>
  <c r="F79" i="25"/>
  <c r="O76" i="25"/>
  <c r="N76" i="25"/>
  <c r="I76" i="25"/>
  <c r="E76" i="25"/>
  <c r="C76" i="25"/>
  <c r="M74" i="25"/>
  <c r="K74" i="25"/>
  <c r="J74" i="25"/>
  <c r="D74" i="25"/>
  <c r="D76" i="25" s="1"/>
  <c r="M73" i="25"/>
  <c r="F73" i="25"/>
  <c r="K72" i="25"/>
  <c r="J72" i="25"/>
  <c r="M72" i="25"/>
  <c r="M71" i="25"/>
  <c r="K71" i="25"/>
  <c r="J71" i="25"/>
  <c r="K70" i="25"/>
  <c r="J70" i="25"/>
  <c r="M70" i="25"/>
  <c r="G76" i="25"/>
  <c r="F70" i="25"/>
  <c r="O67" i="25"/>
  <c r="N67" i="25"/>
  <c r="I67" i="25"/>
  <c r="D67" i="25"/>
  <c r="C67" i="25"/>
  <c r="L65" i="25"/>
  <c r="K65" i="25"/>
  <c r="J65" i="25"/>
  <c r="M65" i="25"/>
  <c r="K64" i="25"/>
  <c r="J64" i="25"/>
  <c r="M64" i="25"/>
  <c r="M63" i="25"/>
  <c r="L63" i="25"/>
  <c r="E63" i="25"/>
  <c r="K62" i="25"/>
  <c r="J62" i="25"/>
  <c r="M62" i="25"/>
  <c r="M61" i="25"/>
  <c r="K61" i="25"/>
  <c r="J61" i="25"/>
  <c r="F61" i="25"/>
  <c r="K60" i="25"/>
  <c r="J60" i="25"/>
  <c r="M60" i="25"/>
  <c r="F60" i="25"/>
  <c r="K59" i="25"/>
  <c r="J59" i="25"/>
  <c r="M59" i="25"/>
  <c r="L59" i="25"/>
  <c r="F59" i="25"/>
  <c r="M58" i="25"/>
  <c r="K58" i="25"/>
  <c r="J58" i="25"/>
  <c r="K57" i="25"/>
  <c r="J57" i="25"/>
  <c r="M57" i="25"/>
  <c r="M56" i="25"/>
  <c r="K56" i="25"/>
  <c r="J56" i="25"/>
  <c r="K55" i="25"/>
  <c r="J55" i="25"/>
  <c r="M55" i="25"/>
  <c r="F55" i="25"/>
  <c r="K54" i="25"/>
  <c r="J54" i="25"/>
  <c r="M54" i="25"/>
  <c r="M53" i="25"/>
  <c r="K52" i="25"/>
  <c r="J52" i="25"/>
  <c r="M52" i="25"/>
  <c r="M50" i="25"/>
  <c r="K50" i="25"/>
  <c r="J50" i="25"/>
  <c r="L50" i="25" s="1"/>
  <c r="F50" i="25"/>
  <c r="N47" i="25"/>
  <c r="I47" i="25"/>
  <c r="D47" i="25"/>
  <c r="M45" i="25"/>
  <c r="G45" i="25"/>
  <c r="L45" i="25" s="1"/>
  <c r="M44" i="25"/>
  <c r="M43" i="25"/>
  <c r="L43" i="25"/>
  <c r="M42" i="25"/>
  <c r="E42" i="25"/>
  <c r="E47" i="25" s="1"/>
  <c r="M41" i="25"/>
  <c r="K41" i="25"/>
  <c r="J41" i="25"/>
  <c r="K40" i="25"/>
  <c r="J40" i="25"/>
  <c r="M40" i="25"/>
  <c r="M39" i="25"/>
  <c r="K39" i="25"/>
  <c r="J39" i="25"/>
  <c r="K38" i="25"/>
  <c r="J38" i="25"/>
  <c r="M38" i="25"/>
  <c r="F38" i="25"/>
  <c r="K37" i="25"/>
  <c r="J37" i="25"/>
  <c r="M37" i="25"/>
  <c r="M36" i="25"/>
  <c r="K36" i="25"/>
  <c r="J36" i="25"/>
  <c r="K35" i="25"/>
  <c r="J35" i="25"/>
  <c r="M35" i="25"/>
  <c r="M34" i="25"/>
  <c r="K34" i="25"/>
  <c r="J34" i="25"/>
  <c r="K33" i="25"/>
  <c r="J33" i="25"/>
  <c r="M33" i="25"/>
  <c r="F33" i="25"/>
  <c r="K32" i="25"/>
  <c r="J32" i="25"/>
  <c r="M32" i="25"/>
  <c r="C32" i="25"/>
  <c r="C47" i="25" s="1"/>
  <c r="M31" i="25"/>
  <c r="K31" i="25"/>
  <c r="J31" i="25"/>
  <c r="F31" i="25"/>
  <c r="C31" i="25"/>
  <c r="O47" i="25"/>
  <c r="L30" i="25"/>
  <c r="M29" i="25"/>
  <c r="K29" i="25"/>
  <c r="J29" i="25"/>
  <c r="K28" i="25"/>
  <c r="J28" i="25"/>
  <c r="F28" i="25"/>
  <c r="O25" i="25"/>
  <c r="N25" i="25"/>
  <c r="K25" i="25"/>
  <c r="J25" i="25"/>
  <c r="I25" i="25"/>
  <c r="I95" i="25" s="1"/>
  <c r="F25" i="25"/>
  <c r="E25" i="25"/>
  <c r="D25" i="25"/>
  <c r="M23" i="25"/>
  <c r="L23" i="25"/>
  <c r="C23" i="25"/>
  <c r="M22" i="25"/>
  <c r="L22" i="25"/>
  <c r="M21" i="25"/>
  <c r="M20" i="25"/>
  <c r="L20" i="25"/>
  <c r="M19" i="25"/>
  <c r="L19" i="25"/>
  <c r="L18" i="25"/>
  <c r="M18" i="25"/>
  <c r="C18" i="25"/>
  <c r="M17" i="25"/>
  <c r="L17" i="25"/>
  <c r="M16" i="25"/>
  <c r="M15" i="25"/>
  <c r="L15" i="25"/>
  <c r="M14" i="25"/>
  <c r="M13" i="25"/>
  <c r="L13" i="25"/>
  <c r="M12" i="25"/>
  <c r="L12" i="25"/>
  <c r="M11" i="25"/>
  <c r="M10" i="25"/>
  <c r="L10" i="25"/>
  <c r="C10" i="25"/>
  <c r="L9" i="25"/>
  <c r="C9" i="25"/>
  <c r="M7" i="25"/>
  <c r="L7" i="25"/>
  <c r="D179" i="24"/>
  <c r="D545" i="24"/>
  <c r="D535" i="24"/>
  <c r="D527" i="24"/>
  <c r="D516" i="24"/>
  <c r="D507" i="24"/>
  <c r="D489" i="24"/>
  <c r="D480" i="24"/>
  <c r="D474" i="24"/>
  <c r="D467" i="24"/>
  <c r="D461" i="24"/>
  <c r="D454" i="24"/>
  <c r="D446" i="24"/>
  <c r="D420" i="24"/>
  <c r="D399" i="24"/>
  <c r="D376" i="24"/>
  <c r="D357" i="24"/>
  <c r="D337" i="24"/>
  <c r="D315" i="24"/>
  <c r="D293" i="24"/>
  <c r="D275" i="24"/>
  <c r="D255" i="24"/>
  <c r="D231" i="24"/>
  <c r="D207" i="24"/>
  <c r="D188" i="24"/>
  <c r="D159" i="24"/>
  <c r="D137" i="24"/>
  <c r="M107" i="24"/>
  <c r="L107" i="24"/>
  <c r="J107" i="24"/>
  <c r="H107" i="24"/>
  <c r="G107" i="24"/>
  <c r="F107" i="24"/>
  <c r="E107" i="24"/>
  <c r="I16" i="24" s="1"/>
  <c r="D107" i="24"/>
  <c r="H15" i="24" s="1"/>
  <c r="C107" i="24"/>
  <c r="B107" i="24"/>
  <c r="K94" i="24"/>
  <c r="K107" i="24" s="1"/>
  <c r="I92" i="24"/>
  <c r="I107" i="24" s="1"/>
  <c r="D82" i="24"/>
  <c r="P77" i="24"/>
  <c r="D77" i="24" s="1"/>
  <c r="D76" i="24"/>
  <c r="D75" i="24"/>
  <c r="D74" i="24"/>
  <c r="D72" i="24"/>
  <c r="D71" i="24"/>
  <c r="D70" i="24"/>
  <c r="H68" i="24"/>
  <c r="D68" i="24" s="1"/>
  <c r="D67" i="24"/>
  <c r="D65" i="24"/>
  <c r="D64" i="24"/>
  <c r="D63" i="24"/>
  <c r="F61" i="24"/>
  <c r="D61" i="24" s="1"/>
  <c r="D58" i="24"/>
  <c r="D57" i="24"/>
  <c r="D56" i="24"/>
  <c r="D55" i="24"/>
  <c r="D54" i="24"/>
  <c r="D53" i="24"/>
  <c r="D52" i="24"/>
  <c r="D51" i="24"/>
  <c r="D50" i="24"/>
  <c r="D49" i="24"/>
  <c r="D48" i="24"/>
  <c r="D47" i="24"/>
  <c r="Q9" i="24"/>
  <c r="D43" i="24"/>
  <c r="D42" i="24"/>
  <c r="D41" i="24"/>
  <c r="D39" i="24"/>
  <c r="D38" i="24"/>
  <c r="D37" i="24"/>
  <c r="L9" i="24"/>
  <c r="K9" i="24"/>
  <c r="D28" i="24"/>
  <c r="D27" i="24"/>
  <c r="D26" i="24"/>
  <c r="D25" i="24"/>
  <c r="D24" i="24"/>
  <c r="D23" i="24"/>
  <c r="D22" i="24"/>
  <c r="D21" i="24"/>
  <c r="D20" i="24"/>
  <c r="D19" i="24"/>
  <c r="D18" i="24"/>
  <c r="D17" i="24"/>
  <c r="F14" i="24"/>
  <c r="F31" i="24" s="1"/>
  <c r="F9" i="24" s="1"/>
  <c r="R7" i="24"/>
  <c r="Q7" i="24"/>
  <c r="P7" i="24"/>
  <c r="O7" i="24"/>
  <c r="N7" i="24"/>
  <c r="M7" i="24"/>
  <c r="L7" i="24"/>
  <c r="K7" i="24"/>
  <c r="J7" i="24"/>
  <c r="G5" i="24"/>
  <c r="AU11" i="15"/>
  <c r="AV11" i="15"/>
  <c r="AV69" i="15" s="1"/>
  <c r="O170" i="25" l="1"/>
  <c r="O316" i="25"/>
  <c r="L360" i="25"/>
  <c r="L392" i="25"/>
  <c r="L109" i="25"/>
  <c r="L137" i="25"/>
  <c r="L74" i="25"/>
  <c r="L110" i="25"/>
  <c r="L122" i="25"/>
  <c r="L127" i="25"/>
  <c r="L159" i="25"/>
  <c r="L173" i="25"/>
  <c r="L56" i="25"/>
  <c r="L131" i="25"/>
  <c r="L195" i="25"/>
  <c r="L114" i="25"/>
  <c r="L198" i="25"/>
  <c r="L64" i="25"/>
  <c r="L365" i="25"/>
  <c r="R5" i="26"/>
  <c r="D9" i="26"/>
  <c r="AW11" i="15"/>
  <c r="L41" i="25"/>
  <c r="L32" i="25"/>
  <c r="L269" i="25"/>
  <c r="L156" i="25"/>
  <c r="L393" i="25"/>
  <c r="L106" i="25"/>
  <c r="L134" i="25"/>
  <c r="L352" i="25"/>
  <c r="K395" i="25"/>
  <c r="L421" i="25"/>
  <c r="L58" i="25"/>
  <c r="L100" i="25"/>
  <c r="L243" i="25"/>
  <c r="G334" i="25"/>
  <c r="L34" i="25"/>
  <c r="D16" i="24"/>
  <c r="I7" i="24"/>
  <c r="D14" i="24"/>
  <c r="K5" i="24"/>
  <c r="F7" i="24"/>
  <c r="H32" i="24"/>
  <c r="D32" i="24" s="1"/>
  <c r="D15" i="24"/>
  <c r="H7" i="24"/>
  <c r="D448" i="24"/>
  <c r="L5" i="24"/>
  <c r="I33" i="24"/>
  <c r="D33" i="24" s="1"/>
  <c r="J5" i="24"/>
  <c r="L31" i="25"/>
  <c r="L39" i="25"/>
  <c r="L37" i="25"/>
  <c r="L151" i="25"/>
  <c r="C181" i="25"/>
  <c r="C225" i="25"/>
  <c r="F377" i="25"/>
  <c r="L388" i="25"/>
  <c r="L391" i="25"/>
  <c r="H435" i="25"/>
  <c r="L158" i="25"/>
  <c r="F308" i="25"/>
  <c r="E334" i="25"/>
  <c r="K355" i="25"/>
  <c r="F383" i="25"/>
  <c r="L135" i="25"/>
  <c r="L161" i="25"/>
  <c r="E245" i="25"/>
  <c r="M383" i="25"/>
  <c r="L418" i="25"/>
  <c r="J433" i="25"/>
  <c r="L429" i="25"/>
  <c r="L55" i="25"/>
  <c r="L71" i="25"/>
  <c r="I395" i="25"/>
  <c r="J423" i="25"/>
  <c r="L409" i="25"/>
  <c r="L413" i="25"/>
  <c r="L29" i="25"/>
  <c r="L52" i="25"/>
  <c r="L104" i="25"/>
  <c r="N435" i="25"/>
  <c r="F433" i="25"/>
  <c r="L36" i="25"/>
  <c r="L219" i="25"/>
  <c r="H336" i="25"/>
  <c r="L107" i="25"/>
  <c r="L430" i="25"/>
  <c r="L57" i="25"/>
  <c r="L60" i="25"/>
  <c r="L99" i="25"/>
  <c r="L211" i="25"/>
  <c r="L420" i="25"/>
  <c r="K95" i="25"/>
  <c r="L98" i="25"/>
  <c r="L112" i="25"/>
  <c r="L175" i="25"/>
  <c r="C203" i="25"/>
  <c r="E435" i="25"/>
  <c r="K377" i="25"/>
  <c r="F264" i="25"/>
  <c r="F355" i="25"/>
  <c r="F404" i="25"/>
  <c r="M423" i="25"/>
  <c r="L400" i="25"/>
  <c r="K415" i="25"/>
  <c r="L170" i="25"/>
  <c r="L178" i="25"/>
  <c r="F334" i="25"/>
  <c r="F415" i="25"/>
  <c r="K308" i="25"/>
  <c r="K368" i="25"/>
  <c r="F395" i="25"/>
  <c r="J47" i="25"/>
  <c r="M76" i="25"/>
  <c r="L353" i="25"/>
  <c r="L386" i="25"/>
  <c r="I404" i="25"/>
  <c r="F225" i="25"/>
  <c r="K349" i="25"/>
  <c r="J404" i="25"/>
  <c r="F423" i="25"/>
  <c r="D336" i="25"/>
  <c r="F287" i="25"/>
  <c r="K404" i="25"/>
  <c r="G415" i="25"/>
  <c r="L61" i="25"/>
  <c r="L267" i="25"/>
  <c r="C435" i="25"/>
  <c r="J368" i="25"/>
  <c r="D383" i="25"/>
  <c r="D435" i="25" s="1"/>
  <c r="K423" i="25"/>
  <c r="M433" i="25"/>
  <c r="M25" i="25"/>
  <c r="O163" i="25"/>
  <c r="O225" i="25"/>
  <c r="M287" i="25"/>
  <c r="O433" i="25"/>
  <c r="O435" i="25" s="1"/>
  <c r="M105" i="25"/>
  <c r="F119" i="25"/>
  <c r="M225" i="25"/>
  <c r="L218" i="25"/>
  <c r="M264" i="25"/>
  <c r="G377" i="25"/>
  <c r="L374" i="25"/>
  <c r="K433" i="25"/>
  <c r="M28" i="25"/>
  <c r="M47" i="25" s="1"/>
  <c r="L35" i="25"/>
  <c r="M79" i="25"/>
  <c r="M95" i="25" s="1"/>
  <c r="L138" i="25"/>
  <c r="L79" i="25"/>
  <c r="L101" i="25"/>
  <c r="G119" i="25"/>
  <c r="E119" i="25"/>
  <c r="M143" i="25"/>
  <c r="G143" i="25"/>
  <c r="F163" i="25"/>
  <c r="L387" i="25"/>
  <c r="M402" i="25"/>
  <c r="M404" i="25" s="1"/>
  <c r="L402" i="25"/>
  <c r="L399" i="25"/>
  <c r="L206" i="25"/>
  <c r="L38" i="25"/>
  <c r="L11" i="25"/>
  <c r="L16" i="25"/>
  <c r="F47" i="25"/>
  <c r="E67" i="25"/>
  <c r="L86" i="25"/>
  <c r="E143" i="25"/>
  <c r="M155" i="25"/>
  <c r="O181" i="25"/>
  <c r="G47" i="25"/>
  <c r="L28" i="25"/>
  <c r="F76" i="25"/>
  <c r="L128" i="25"/>
  <c r="L140" i="25"/>
  <c r="F181" i="25"/>
  <c r="L197" i="25"/>
  <c r="M346" i="25"/>
  <c r="L346" i="25"/>
  <c r="L349" i="25" s="1"/>
  <c r="J395" i="25"/>
  <c r="M372" i="25"/>
  <c r="M377" i="25" s="1"/>
  <c r="C449" i="25"/>
  <c r="C445" i="25" s="1"/>
  <c r="L372" i="25"/>
  <c r="G203" i="25"/>
  <c r="M293" i="25"/>
  <c r="M308" i="25" s="1"/>
  <c r="L293" i="25"/>
  <c r="M362" i="25"/>
  <c r="L381" i="25"/>
  <c r="G383" i="25"/>
  <c r="K47" i="25"/>
  <c r="M119" i="25"/>
  <c r="L111" i="25"/>
  <c r="L133" i="25"/>
  <c r="L154" i="25"/>
  <c r="G163" i="25"/>
  <c r="F67" i="25"/>
  <c r="M390" i="25"/>
  <c r="M395" i="25" s="1"/>
  <c r="L390" i="25"/>
  <c r="L33" i="25"/>
  <c r="L40" i="25"/>
  <c r="N336" i="25"/>
  <c r="F95" i="25"/>
  <c r="L81" i="25"/>
  <c r="L177" i="25"/>
  <c r="O334" i="25"/>
  <c r="M368" i="25"/>
  <c r="I423" i="25"/>
  <c r="L428" i="25"/>
  <c r="G433" i="25"/>
  <c r="G437" i="25"/>
  <c r="G67" i="25"/>
  <c r="O245" i="25"/>
  <c r="J287" i="25"/>
  <c r="L270" i="25"/>
  <c r="L287" i="25" s="1"/>
  <c r="L426" i="25"/>
  <c r="L117" i="25"/>
  <c r="M150" i="25"/>
  <c r="M67" i="25"/>
  <c r="I433" i="25"/>
  <c r="C25" i="25"/>
  <c r="C336" i="25" s="1"/>
  <c r="M355" i="25"/>
  <c r="F143" i="25"/>
  <c r="L132" i="25"/>
  <c r="F245" i="25"/>
  <c r="L359" i="25"/>
  <c r="M412" i="25"/>
  <c r="M415" i="25" s="1"/>
  <c r="L412" i="25"/>
  <c r="L54" i="25"/>
  <c r="L62" i="25"/>
  <c r="L72" i="25"/>
  <c r="L87" i="25"/>
  <c r="M232" i="25"/>
  <c r="M245" i="25" s="1"/>
  <c r="E287" i="25"/>
  <c r="O300" i="25"/>
  <c r="M345" i="25"/>
  <c r="M347" i="25"/>
  <c r="M170" i="25"/>
  <c r="M181" i="25" s="1"/>
  <c r="L408" i="25"/>
  <c r="G25" i="25"/>
  <c r="M189" i="25"/>
  <c r="M203" i="25" s="1"/>
  <c r="I287" i="25"/>
  <c r="G368" i="25"/>
  <c r="L299" i="25"/>
  <c r="L339" i="25"/>
  <c r="L342" i="25" s="1"/>
  <c r="G342" i="25"/>
  <c r="F203" i="25"/>
  <c r="O299" i="25"/>
  <c r="M339" i="25"/>
  <c r="M342" i="25" s="1"/>
  <c r="G395" i="25"/>
  <c r="L14" i="25"/>
  <c r="L21" i="25"/>
  <c r="L44" i="25"/>
  <c r="G245" i="25"/>
  <c r="G362" i="25"/>
  <c r="G95" i="25"/>
  <c r="L366" i="25"/>
  <c r="L368" i="25" s="1"/>
  <c r="L371" i="25"/>
  <c r="L42" i="25"/>
  <c r="L70" i="25"/>
  <c r="L375" i="25"/>
  <c r="L380" i="25"/>
  <c r="D547" i="24"/>
  <c r="D552" i="24" s="1"/>
  <c r="E11" i="24"/>
  <c r="N9" i="24"/>
  <c r="N5" i="24" s="1"/>
  <c r="O9" i="24"/>
  <c r="O5" i="24" s="1"/>
  <c r="D40" i="24"/>
  <c r="P9" i="24"/>
  <c r="P5" i="24" s="1"/>
  <c r="D34" i="24"/>
  <c r="F5" i="24"/>
  <c r="D35" i="24"/>
  <c r="D44" i="24"/>
  <c r="D36" i="24"/>
  <c r="D31" i="24"/>
  <c r="N107" i="24"/>
  <c r="Q5" i="24"/>
  <c r="M9" i="24"/>
  <c r="M5" i="24" s="1"/>
  <c r="E13" i="24"/>
  <c r="E30" i="24" s="1"/>
  <c r="E9" i="24" s="1"/>
  <c r="D81" i="24"/>
  <c r="R74" i="18"/>
  <c r="D74" i="18"/>
  <c r="L404" i="25" l="1"/>
  <c r="L423" i="25"/>
  <c r="L355" i="25"/>
  <c r="S79" i="26"/>
  <c r="S61" i="26"/>
  <c r="S72" i="26"/>
  <c r="S37" i="26"/>
  <c r="S63" i="26"/>
  <c r="S67" i="26"/>
  <c r="S76" i="26"/>
  <c r="S56" i="26"/>
  <c r="S40" i="26"/>
  <c r="S77" i="26"/>
  <c r="S64" i="26"/>
  <c r="S57" i="26"/>
  <c r="S74" i="26"/>
  <c r="S55" i="26"/>
  <c r="S58" i="26"/>
  <c r="S53" i="26"/>
  <c r="S50" i="26"/>
  <c r="S75" i="26"/>
  <c r="S65" i="26"/>
  <c r="S48" i="26"/>
  <c r="S70" i="26"/>
  <c r="S43" i="26"/>
  <c r="S30" i="26"/>
  <c r="S73" i="26"/>
  <c r="S51" i="26"/>
  <c r="S41" i="26"/>
  <c r="S49" i="26"/>
  <c r="S44" i="26"/>
  <c r="S39" i="26"/>
  <c r="S78" i="26"/>
  <c r="S32" i="26"/>
  <c r="S33" i="26"/>
  <c r="S42" i="26"/>
  <c r="S66" i="26"/>
  <c r="S69" i="26"/>
  <c r="S47" i="26"/>
  <c r="S38" i="26"/>
  <c r="S71" i="26"/>
  <c r="S54" i="26"/>
  <c r="S68" i="26"/>
  <c r="S52" i="26"/>
  <c r="S36" i="26"/>
  <c r="S34" i="26"/>
  <c r="S35" i="26"/>
  <c r="D5" i="26"/>
  <c r="S31" i="26"/>
  <c r="F435" i="25"/>
  <c r="I9" i="24"/>
  <c r="I5" i="24" s="1"/>
  <c r="H9" i="24"/>
  <c r="H5" i="24" s="1"/>
  <c r="N440" i="25"/>
  <c r="I435" i="25"/>
  <c r="L383" i="25"/>
  <c r="L415" i="25"/>
  <c r="O308" i="25"/>
  <c r="O336" i="25" s="1"/>
  <c r="O440" i="25" s="1"/>
  <c r="O443" i="25" s="1"/>
  <c r="M163" i="25"/>
  <c r="M336" i="25" s="1"/>
  <c r="L308" i="25"/>
  <c r="L395" i="25"/>
  <c r="G435" i="25"/>
  <c r="L25" i="25"/>
  <c r="C440" i="25"/>
  <c r="L47" i="25"/>
  <c r="L95" i="25"/>
  <c r="F336" i="25"/>
  <c r="F440" i="25" s="1"/>
  <c r="L433" i="25"/>
  <c r="E336" i="25"/>
  <c r="E440" i="25" s="1"/>
  <c r="G336" i="25"/>
  <c r="L437" i="25"/>
  <c r="D437" i="25"/>
  <c r="D440" i="25" s="1"/>
  <c r="M349" i="25"/>
  <c r="M435" i="25" s="1"/>
  <c r="L377" i="25"/>
  <c r="E547" i="24"/>
  <c r="D13" i="24"/>
  <c r="E7" i="24"/>
  <c r="R83" i="24"/>
  <c r="BO11" i="15"/>
  <c r="BP11" i="15"/>
  <c r="BE11" i="15"/>
  <c r="BF11" i="15"/>
  <c r="AQ11" i="15"/>
  <c r="AQ69" i="15" s="1"/>
  <c r="AP11" i="15"/>
  <c r="AF10" i="15"/>
  <c r="BL10" i="20"/>
  <c r="BK10" i="20"/>
  <c r="BH10" i="20"/>
  <c r="BC10" i="20"/>
  <c r="AX10" i="20"/>
  <c r="AS10" i="20"/>
  <c r="AN10" i="20"/>
  <c r="AI10" i="20"/>
  <c r="AD10" i="20"/>
  <c r="Y10" i="20"/>
  <c r="R10" i="20"/>
  <c r="S10" i="20"/>
  <c r="M10" i="20"/>
  <c r="AG10" i="14"/>
  <c r="AB10" i="14"/>
  <c r="AB12" i="15"/>
  <c r="AA13" i="15"/>
  <c r="AB13" i="15"/>
  <c r="AB14" i="15"/>
  <c r="AA15" i="15"/>
  <c r="AB15" i="15"/>
  <c r="AB16" i="15"/>
  <c r="AA17" i="15"/>
  <c r="AB17" i="15"/>
  <c r="AB18" i="15"/>
  <c r="AA19" i="15"/>
  <c r="AB19" i="15"/>
  <c r="AB20" i="15"/>
  <c r="AA21" i="15"/>
  <c r="AB21" i="15"/>
  <c r="AB22" i="15"/>
  <c r="AA23" i="15"/>
  <c r="AB23" i="15"/>
  <c r="AB24" i="15"/>
  <c r="AA25" i="15"/>
  <c r="AB25" i="15"/>
  <c r="AB26" i="15"/>
  <c r="AA27" i="15"/>
  <c r="AB27" i="15"/>
  <c r="AB28" i="15"/>
  <c r="AA29" i="15"/>
  <c r="AB29" i="15"/>
  <c r="AB30" i="15"/>
  <c r="AA31" i="15"/>
  <c r="AB31" i="15"/>
  <c r="AB32" i="15"/>
  <c r="AA33" i="15"/>
  <c r="AB33" i="15"/>
  <c r="AB34" i="15"/>
  <c r="AA35" i="15"/>
  <c r="AB35" i="15"/>
  <c r="AB36" i="15"/>
  <c r="AA37" i="15"/>
  <c r="AB37" i="15"/>
  <c r="AB38" i="15"/>
  <c r="AA39" i="15"/>
  <c r="AB39" i="15"/>
  <c r="AB40" i="15"/>
  <c r="AA41" i="15"/>
  <c r="AB41" i="15"/>
  <c r="AB42" i="15"/>
  <c r="AA43" i="15"/>
  <c r="AB43" i="15"/>
  <c r="AB44" i="15"/>
  <c r="AA45" i="15"/>
  <c r="AB45" i="15"/>
  <c r="AB46" i="15"/>
  <c r="AA47" i="15"/>
  <c r="AB47" i="15"/>
  <c r="AB48" i="15"/>
  <c r="AA49" i="15"/>
  <c r="AB49" i="15"/>
  <c r="AB50" i="15"/>
  <c r="AA51" i="15"/>
  <c r="AB51" i="15"/>
  <c r="AB52" i="15"/>
  <c r="AA53" i="15"/>
  <c r="AB53" i="15"/>
  <c r="AB54" i="15"/>
  <c r="AA55" i="15"/>
  <c r="AB55" i="15"/>
  <c r="AB56" i="15"/>
  <c r="AA57" i="15"/>
  <c r="AB57" i="15"/>
  <c r="AB58" i="15"/>
  <c r="AA59" i="15"/>
  <c r="AB59" i="15"/>
  <c r="AB60" i="15"/>
  <c r="AA61" i="15"/>
  <c r="AB61" i="15"/>
  <c r="AB62" i="15"/>
  <c r="AA63" i="15"/>
  <c r="AB63" i="15"/>
  <c r="AB64" i="15"/>
  <c r="AA65" i="15"/>
  <c r="AB65" i="15"/>
  <c r="AB66" i="15"/>
  <c r="AA67" i="15"/>
  <c r="AB67" i="15"/>
  <c r="W12" i="15"/>
  <c r="V13" i="15"/>
  <c r="W13" i="15"/>
  <c r="W14" i="15"/>
  <c r="V15" i="15"/>
  <c r="W15" i="15"/>
  <c r="W16" i="15"/>
  <c r="V17" i="15"/>
  <c r="W17" i="15"/>
  <c r="W18" i="15"/>
  <c r="V19" i="15"/>
  <c r="W19" i="15"/>
  <c r="W20" i="15"/>
  <c r="V21" i="15"/>
  <c r="W21" i="15"/>
  <c r="W22" i="15"/>
  <c r="V23" i="15"/>
  <c r="W23" i="15"/>
  <c r="W24" i="15"/>
  <c r="V25" i="15"/>
  <c r="W25" i="15"/>
  <c r="W26" i="15"/>
  <c r="V27" i="15"/>
  <c r="W27" i="15"/>
  <c r="W28" i="15"/>
  <c r="V29" i="15"/>
  <c r="W29" i="15"/>
  <c r="W30" i="15"/>
  <c r="V31" i="15"/>
  <c r="W31" i="15"/>
  <c r="W32" i="15"/>
  <c r="V33" i="15"/>
  <c r="W33" i="15"/>
  <c r="W34" i="15"/>
  <c r="V35" i="15"/>
  <c r="W35" i="15"/>
  <c r="W36" i="15"/>
  <c r="V37" i="15"/>
  <c r="W37" i="15"/>
  <c r="W38" i="15"/>
  <c r="V39" i="15"/>
  <c r="W39" i="15"/>
  <c r="W40" i="15"/>
  <c r="V41" i="15"/>
  <c r="W41" i="15"/>
  <c r="W42" i="15"/>
  <c r="V43" i="15"/>
  <c r="W43" i="15"/>
  <c r="W44" i="15"/>
  <c r="V45" i="15"/>
  <c r="W45" i="15"/>
  <c r="W46" i="15"/>
  <c r="V47" i="15"/>
  <c r="W47" i="15"/>
  <c r="W48" i="15"/>
  <c r="V49" i="15"/>
  <c r="W49" i="15"/>
  <c r="W50" i="15"/>
  <c r="V51" i="15"/>
  <c r="W51" i="15"/>
  <c r="W52" i="15"/>
  <c r="V53" i="15"/>
  <c r="W53" i="15"/>
  <c r="W54" i="15"/>
  <c r="V55" i="15"/>
  <c r="W55" i="15"/>
  <c r="W56" i="15"/>
  <c r="V57" i="15"/>
  <c r="W57" i="15"/>
  <c r="W58" i="15"/>
  <c r="V59" i="15"/>
  <c r="W59" i="15"/>
  <c r="W60" i="15"/>
  <c r="V61" i="15"/>
  <c r="W61" i="15"/>
  <c r="W62" i="15"/>
  <c r="V63" i="15"/>
  <c r="W63" i="15"/>
  <c r="W64" i="15"/>
  <c r="V65" i="15"/>
  <c r="W65" i="15"/>
  <c r="W66" i="15"/>
  <c r="V67" i="15"/>
  <c r="W67" i="15"/>
  <c r="V11" i="15"/>
  <c r="AB11" i="15"/>
  <c r="AA11" i="15"/>
  <c r="BP11" i="13"/>
  <c r="BQ11" i="13"/>
  <c r="BP12" i="13"/>
  <c r="BQ12" i="13"/>
  <c r="BP13" i="13"/>
  <c r="BQ13" i="13"/>
  <c r="BP14" i="13"/>
  <c r="BQ14" i="13"/>
  <c r="BP15" i="13"/>
  <c r="BQ15" i="13"/>
  <c r="BP16" i="13"/>
  <c r="BQ16" i="13"/>
  <c r="BP17" i="13"/>
  <c r="BQ17" i="13"/>
  <c r="BP18" i="13"/>
  <c r="BQ18" i="13"/>
  <c r="BP19" i="13"/>
  <c r="BQ19" i="13"/>
  <c r="BP20" i="13"/>
  <c r="BQ20" i="13"/>
  <c r="BP21" i="13"/>
  <c r="BQ21" i="13"/>
  <c r="BP22" i="13"/>
  <c r="BQ22" i="13"/>
  <c r="BP23" i="13"/>
  <c r="BQ23" i="13"/>
  <c r="BP24" i="13"/>
  <c r="BQ24" i="13"/>
  <c r="BP25" i="13"/>
  <c r="BQ25" i="13"/>
  <c r="BP26" i="13"/>
  <c r="BQ26" i="13"/>
  <c r="BQ10" i="13"/>
  <c r="BP10" i="13"/>
  <c r="BL11" i="13"/>
  <c r="BM11" i="13" s="1"/>
  <c r="BK12" i="13"/>
  <c r="BL12" i="13"/>
  <c r="BL13" i="13"/>
  <c r="BM13" i="13" s="1"/>
  <c r="BK14" i="13"/>
  <c r="BL14" i="13"/>
  <c r="BL15" i="13"/>
  <c r="BM15" i="13" s="1"/>
  <c r="BK16" i="13"/>
  <c r="BL16" i="13"/>
  <c r="BL17" i="13"/>
  <c r="BM17" i="13" s="1"/>
  <c r="BK18" i="13"/>
  <c r="BL18" i="13"/>
  <c r="BL19" i="13"/>
  <c r="BM19" i="13" s="1"/>
  <c r="BK20" i="13"/>
  <c r="BL20" i="13"/>
  <c r="BL21" i="13"/>
  <c r="BM21" i="13" s="1"/>
  <c r="BK22" i="13"/>
  <c r="BL22" i="13"/>
  <c r="BL23" i="13"/>
  <c r="BM23" i="13" s="1"/>
  <c r="BK24" i="13"/>
  <c r="BL24" i="13"/>
  <c r="BL25" i="13"/>
  <c r="BM25" i="13" s="1"/>
  <c r="BK26" i="13"/>
  <c r="BL26" i="13"/>
  <c r="BL10" i="13"/>
  <c r="BK10" i="13"/>
  <c r="BG26" i="13"/>
  <c r="BF26" i="13"/>
  <c r="BG25" i="13"/>
  <c r="BH25" i="13" s="1"/>
  <c r="BG24" i="13"/>
  <c r="BF24" i="13"/>
  <c r="BG23" i="13"/>
  <c r="BH23" i="13" s="1"/>
  <c r="BG22" i="13"/>
  <c r="BF22" i="13"/>
  <c r="BG21" i="13"/>
  <c r="BH21" i="13" s="1"/>
  <c r="BG20" i="13"/>
  <c r="BF20" i="13"/>
  <c r="BG19" i="13"/>
  <c r="BH19" i="13" s="1"/>
  <c r="BG18" i="13"/>
  <c r="BF18" i="13"/>
  <c r="BG17" i="13"/>
  <c r="BH17" i="13" s="1"/>
  <c r="BG16" i="13"/>
  <c r="BF16" i="13"/>
  <c r="BG15" i="13"/>
  <c r="BH15" i="13" s="1"/>
  <c r="BG14" i="13"/>
  <c r="BF14" i="13"/>
  <c r="BH14" i="13" s="1"/>
  <c r="BG13" i="13"/>
  <c r="BH13" i="13" s="1"/>
  <c r="BG12" i="13"/>
  <c r="BF12" i="13"/>
  <c r="BG11" i="13"/>
  <c r="BH11" i="13" s="1"/>
  <c r="BG10" i="13"/>
  <c r="BF10" i="13"/>
  <c r="BB11" i="13"/>
  <c r="BC11" i="13" s="1"/>
  <c r="BA12" i="13"/>
  <c r="BB12" i="13"/>
  <c r="BB13" i="13"/>
  <c r="BC13" i="13" s="1"/>
  <c r="BA14" i="13"/>
  <c r="BB14" i="13"/>
  <c r="BB15" i="13"/>
  <c r="BC15" i="13" s="1"/>
  <c r="BA16" i="13"/>
  <c r="BB16" i="13"/>
  <c r="BC16" i="13" s="1"/>
  <c r="BB17" i="13"/>
  <c r="BC17" i="13" s="1"/>
  <c r="BA18" i="13"/>
  <c r="BB18" i="13"/>
  <c r="BB19" i="13"/>
  <c r="BC19" i="13" s="1"/>
  <c r="BA20" i="13"/>
  <c r="BB20" i="13"/>
  <c r="BB21" i="13"/>
  <c r="BC21" i="13" s="1"/>
  <c r="BA22" i="13"/>
  <c r="BB22" i="13"/>
  <c r="BB23" i="13"/>
  <c r="BC23" i="13" s="1"/>
  <c r="BA24" i="13"/>
  <c r="BB24" i="13"/>
  <c r="BB25" i="13"/>
  <c r="BC25" i="13" s="1"/>
  <c r="BA26" i="13"/>
  <c r="BB26" i="13"/>
  <c r="BB10" i="13"/>
  <c r="BC10" i="13" s="1"/>
  <c r="AW11" i="13"/>
  <c r="AX11" i="13" s="1"/>
  <c r="AV12" i="13"/>
  <c r="AW12" i="13"/>
  <c r="AW13" i="13"/>
  <c r="AX13" i="13" s="1"/>
  <c r="AV14" i="13"/>
  <c r="AW14" i="13"/>
  <c r="AW15" i="13"/>
  <c r="AX15" i="13" s="1"/>
  <c r="AV16" i="13"/>
  <c r="AW16" i="13"/>
  <c r="AW17" i="13"/>
  <c r="AX17" i="13" s="1"/>
  <c r="AV18" i="13"/>
  <c r="AW18" i="13"/>
  <c r="AW19" i="13"/>
  <c r="AX19" i="13" s="1"/>
  <c r="AV20" i="13"/>
  <c r="AW20" i="13"/>
  <c r="AW21" i="13"/>
  <c r="AX21" i="13" s="1"/>
  <c r="AV22" i="13"/>
  <c r="AW22" i="13"/>
  <c r="AW23" i="13"/>
  <c r="AX23" i="13" s="1"/>
  <c r="AV24" i="13"/>
  <c r="AW24" i="13"/>
  <c r="AW25" i="13"/>
  <c r="AX25" i="13" s="1"/>
  <c r="AV26" i="13"/>
  <c r="AW26" i="13"/>
  <c r="AX10" i="13"/>
  <c r="AR26" i="13"/>
  <c r="AQ26" i="13"/>
  <c r="AR25" i="13"/>
  <c r="AS25" i="13" s="1"/>
  <c r="AR24" i="13"/>
  <c r="AQ24" i="13"/>
  <c r="AR23" i="13"/>
  <c r="AS23" i="13" s="1"/>
  <c r="AR22" i="13"/>
  <c r="AQ22" i="13"/>
  <c r="AR21" i="13"/>
  <c r="AS21" i="13" s="1"/>
  <c r="AR20" i="13"/>
  <c r="AQ20" i="13"/>
  <c r="AR19" i="13"/>
  <c r="AS19" i="13" s="1"/>
  <c r="AR18" i="13"/>
  <c r="AQ18" i="13"/>
  <c r="AR17" i="13"/>
  <c r="AS17" i="13" s="1"/>
  <c r="AR16" i="13"/>
  <c r="AQ16" i="13"/>
  <c r="AR15" i="13"/>
  <c r="AS15" i="13" s="1"/>
  <c r="AR14" i="13"/>
  <c r="AQ14" i="13"/>
  <c r="AR13" i="13"/>
  <c r="AS13" i="13" s="1"/>
  <c r="AR12" i="13"/>
  <c r="AQ12" i="13"/>
  <c r="AR11" i="13"/>
  <c r="AS11" i="13" s="1"/>
  <c r="AR10" i="13"/>
  <c r="AQ10" i="13"/>
  <c r="AM11" i="13"/>
  <c r="AN11" i="13" s="1"/>
  <c r="AL12" i="13"/>
  <c r="AM12" i="13"/>
  <c r="AM13" i="13"/>
  <c r="AN13" i="13" s="1"/>
  <c r="AL14" i="13"/>
  <c r="AM14" i="13"/>
  <c r="AM15" i="13"/>
  <c r="AN15" i="13" s="1"/>
  <c r="AL16" i="13"/>
  <c r="AM16" i="13"/>
  <c r="AM17" i="13"/>
  <c r="AN17" i="13" s="1"/>
  <c r="AL18" i="13"/>
  <c r="AM18" i="13"/>
  <c r="AM19" i="13"/>
  <c r="AN19" i="13" s="1"/>
  <c r="AL20" i="13"/>
  <c r="AM20" i="13"/>
  <c r="AM21" i="13"/>
  <c r="AN21" i="13" s="1"/>
  <c r="AL22" i="13"/>
  <c r="AM22" i="13"/>
  <c r="AM23" i="13"/>
  <c r="AN23" i="13" s="1"/>
  <c r="AL24" i="13"/>
  <c r="AM24" i="13"/>
  <c r="AM25" i="13"/>
  <c r="AN25" i="13" s="1"/>
  <c r="AL26" i="13"/>
  <c r="AM26" i="13"/>
  <c r="AM10" i="13"/>
  <c r="AL10" i="13"/>
  <c r="AH11" i="13"/>
  <c r="AI11" i="13" s="1"/>
  <c r="AG12" i="13"/>
  <c r="AH12" i="13"/>
  <c r="AH13" i="13"/>
  <c r="AI13" i="13" s="1"/>
  <c r="AG14" i="13"/>
  <c r="AH14" i="13"/>
  <c r="AH15" i="13"/>
  <c r="AI15" i="13" s="1"/>
  <c r="AG16" i="13"/>
  <c r="AH16" i="13"/>
  <c r="AH17" i="13"/>
  <c r="AI17" i="13" s="1"/>
  <c r="AG18" i="13"/>
  <c r="AH18" i="13"/>
  <c r="AH19" i="13"/>
  <c r="AI19" i="13" s="1"/>
  <c r="AG20" i="13"/>
  <c r="AH20" i="13"/>
  <c r="AH21" i="13"/>
  <c r="AI21" i="13" s="1"/>
  <c r="AG22" i="13"/>
  <c r="AH22" i="13"/>
  <c r="AH23" i="13"/>
  <c r="AI23" i="13" s="1"/>
  <c r="AG24" i="13"/>
  <c r="AH24" i="13"/>
  <c r="AH25" i="13"/>
  <c r="AI25" i="13" s="1"/>
  <c r="AG26" i="13"/>
  <c r="AH26" i="13"/>
  <c r="AC11" i="13"/>
  <c r="AD11" i="13" s="1"/>
  <c r="AB12" i="13"/>
  <c r="AC12" i="13"/>
  <c r="AC13" i="13"/>
  <c r="AD13" i="13" s="1"/>
  <c r="AB14" i="13"/>
  <c r="AC14" i="13"/>
  <c r="AC15" i="13"/>
  <c r="AD15" i="13" s="1"/>
  <c r="AB16" i="13"/>
  <c r="AC16" i="13"/>
  <c r="AC17" i="13"/>
  <c r="AD17" i="13" s="1"/>
  <c r="AB18" i="13"/>
  <c r="AC18" i="13"/>
  <c r="AC19" i="13"/>
  <c r="AD19" i="13" s="1"/>
  <c r="AB20" i="13"/>
  <c r="AC20" i="13"/>
  <c r="AC21" i="13"/>
  <c r="AD21" i="13" s="1"/>
  <c r="AB22" i="13"/>
  <c r="AC22" i="13"/>
  <c r="AC23" i="13"/>
  <c r="AD23" i="13" s="1"/>
  <c r="AB24" i="13"/>
  <c r="AC24" i="13"/>
  <c r="AC25" i="13"/>
  <c r="AD25" i="13" s="1"/>
  <c r="AB26" i="13"/>
  <c r="AC26" i="13"/>
  <c r="W11" i="13"/>
  <c r="X11" i="13"/>
  <c r="W12" i="13"/>
  <c r="X12" i="13"/>
  <c r="W13" i="13"/>
  <c r="X13" i="13"/>
  <c r="W14" i="13"/>
  <c r="X14" i="13"/>
  <c r="W15" i="13"/>
  <c r="X15" i="13"/>
  <c r="W16" i="13"/>
  <c r="X16" i="13"/>
  <c r="W17" i="13"/>
  <c r="X17" i="13"/>
  <c r="W18" i="13"/>
  <c r="X18" i="13"/>
  <c r="W19" i="13"/>
  <c r="X19" i="13"/>
  <c r="W20" i="13"/>
  <c r="X20" i="13"/>
  <c r="W21" i="13"/>
  <c r="X21" i="13"/>
  <c r="W22" i="13"/>
  <c r="X22" i="13"/>
  <c r="W23" i="13"/>
  <c r="X23" i="13"/>
  <c r="W24" i="13"/>
  <c r="X24" i="13"/>
  <c r="W25" i="13"/>
  <c r="X25" i="13"/>
  <c r="W26" i="13"/>
  <c r="X26" i="13"/>
  <c r="S26" i="13"/>
  <c r="S11" i="13"/>
  <c r="S12" i="13"/>
  <c r="S13" i="13"/>
  <c r="S14" i="13"/>
  <c r="S15" i="13"/>
  <c r="S16" i="13"/>
  <c r="S17" i="13"/>
  <c r="S18" i="13"/>
  <c r="S19" i="13"/>
  <c r="S20" i="13"/>
  <c r="S21" i="13"/>
  <c r="S22" i="13"/>
  <c r="S23" i="13"/>
  <c r="S24" i="13"/>
  <c r="S25" i="13"/>
  <c r="R11" i="13"/>
  <c r="R12" i="13"/>
  <c r="R13" i="13"/>
  <c r="R14" i="13"/>
  <c r="R15" i="13"/>
  <c r="R16" i="13"/>
  <c r="R17" i="13"/>
  <c r="R18" i="13"/>
  <c r="R19" i="13"/>
  <c r="R20" i="13"/>
  <c r="R21" i="13"/>
  <c r="R22" i="13"/>
  <c r="R23" i="13"/>
  <c r="R24" i="13"/>
  <c r="R25" i="13"/>
  <c r="R26" i="13"/>
  <c r="N12" i="13"/>
  <c r="O12" i="13" s="1"/>
  <c r="N13" i="13"/>
  <c r="N14" i="13"/>
  <c r="N15" i="13"/>
  <c r="N16" i="13"/>
  <c r="N17" i="13"/>
  <c r="N18" i="13"/>
  <c r="N19" i="13"/>
  <c r="N20" i="13"/>
  <c r="N21" i="13"/>
  <c r="N22" i="13"/>
  <c r="N23" i="13"/>
  <c r="N24" i="13"/>
  <c r="N25" i="13"/>
  <c r="N26" i="13"/>
  <c r="M11" i="13"/>
  <c r="O11" i="13" s="1"/>
  <c r="M13" i="13"/>
  <c r="M14" i="13"/>
  <c r="M15" i="13"/>
  <c r="M16" i="13"/>
  <c r="M17" i="13"/>
  <c r="M18" i="13"/>
  <c r="M19" i="13"/>
  <c r="M20" i="13"/>
  <c r="M21" i="13"/>
  <c r="M22" i="13"/>
  <c r="M23" i="13"/>
  <c r="M24" i="13"/>
  <c r="M25" i="13"/>
  <c r="M26" i="13"/>
  <c r="AH10" i="13"/>
  <c r="AG10" i="13"/>
  <c r="AC10" i="13"/>
  <c r="AD10" i="13" s="1"/>
  <c r="X10" i="13"/>
  <c r="Y10" i="13" s="1"/>
  <c r="S10" i="13"/>
  <c r="R10" i="13"/>
  <c r="N10" i="13"/>
  <c r="AN22" i="13" l="1"/>
  <c r="AX12" i="13"/>
  <c r="Y25" i="13"/>
  <c r="Y13" i="13"/>
  <c r="AN16" i="13"/>
  <c r="AS16" i="13"/>
  <c r="Y15" i="13"/>
  <c r="AN24" i="13"/>
  <c r="BR10" i="13"/>
  <c r="AS26" i="13"/>
  <c r="T14" i="13"/>
  <c r="BH12" i="13"/>
  <c r="O15" i="13"/>
  <c r="AX24" i="13"/>
  <c r="AN20" i="13"/>
  <c r="AI18" i="13"/>
  <c r="AS12" i="13"/>
  <c r="BR18" i="13"/>
  <c r="Y24" i="13"/>
  <c r="O16" i="13"/>
  <c r="T22" i="13"/>
  <c r="O23" i="13"/>
  <c r="Y12" i="13"/>
  <c r="AD12" i="13"/>
  <c r="AD20" i="13"/>
  <c r="AN12" i="13"/>
  <c r="AS18" i="13"/>
  <c r="AX26" i="13"/>
  <c r="AX16" i="13"/>
  <c r="BC24" i="13"/>
  <c r="BC14" i="13"/>
  <c r="BH16" i="13"/>
  <c r="BH22" i="13"/>
  <c r="BM10" i="13"/>
  <c r="BR17" i="13"/>
  <c r="BR13" i="13"/>
  <c r="BR20" i="13"/>
  <c r="T18" i="13"/>
  <c r="O21" i="13"/>
  <c r="AI22" i="13"/>
  <c r="BC26" i="13"/>
  <c r="O19" i="13"/>
  <c r="I26" i="13"/>
  <c r="R27" i="15" s="1"/>
  <c r="AI16" i="13"/>
  <c r="AN18" i="13"/>
  <c r="T26" i="13"/>
  <c r="BH20" i="13"/>
  <c r="BM16" i="13"/>
  <c r="O13" i="13"/>
  <c r="AD22" i="13"/>
  <c r="AX22" i="13"/>
  <c r="AN26" i="13"/>
  <c r="BC18" i="13"/>
  <c r="H12" i="13"/>
  <c r="Q13" i="15" s="1"/>
  <c r="AI10" i="13"/>
  <c r="T19" i="13"/>
  <c r="T11" i="13"/>
  <c r="Y20" i="13"/>
  <c r="Y16" i="13"/>
  <c r="AI20" i="13"/>
  <c r="AN10" i="13"/>
  <c r="BM24" i="13"/>
  <c r="BM20" i="13"/>
  <c r="BR12" i="13"/>
  <c r="O26" i="13"/>
  <c r="O18" i="13"/>
  <c r="I25" i="13"/>
  <c r="J25" i="13" s="1"/>
  <c r="I17" i="13"/>
  <c r="J17" i="13" s="1"/>
  <c r="T25" i="13"/>
  <c r="T17" i="13"/>
  <c r="Y23" i="13"/>
  <c r="AI24" i="13"/>
  <c r="I10" i="13"/>
  <c r="R11" i="15" s="1"/>
  <c r="BR19" i="13"/>
  <c r="H16" i="13"/>
  <c r="Q17" i="15" s="1"/>
  <c r="I23" i="13"/>
  <c r="J23" i="13" s="1"/>
  <c r="AS10" i="13"/>
  <c r="AS20" i="13"/>
  <c r="T21" i="13"/>
  <c r="T13" i="13"/>
  <c r="T20" i="13"/>
  <c r="T12" i="13"/>
  <c r="Y21" i="13"/>
  <c r="AD16" i="13"/>
  <c r="AI12" i="13"/>
  <c r="BC12" i="13"/>
  <c r="BM12" i="13"/>
  <c r="BR25" i="13"/>
  <c r="O25" i="13"/>
  <c r="O17" i="13"/>
  <c r="I24" i="13"/>
  <c r="R25" i="15" s="1"/>
  <c r="I16" i="13"/>
  <c r="R17" i="15" s="1"/>
  <c r="I11" i="13"/>
  <c r="R12" i="15" s="1"/>
  <c r="S12" i="15" s="1"/>
  <c r="Y17" i="13"/>
  <c r="AD26" i="13"/>
  <c r="AI14" i="13"/>
  <c r="AX20" i="13"/>
  <c r="BH24" i="13"/>
  <c r="BM26" i="13"/>
  <c r="BM22" i="13"/>
  <c r="BR26" i="13"/>
  <c r="BR22" i="13"/>
  <c r="BR11" i="13"/>
  <c r="H24" i="13"/>
  <c r="Q25" i="15" s="1"/>
  <c r="I15" i="13"/>
  <c r="R16" i="15" s="1"/>
  <c r="S16" i="15" s="1"/>
  <c r="AN14" i="13"/>
  <c r="BH10" i="13"/>
  <c r="BR21" i="13"/>
  <c r="BR14" i="13"/>
  <c r="H10" i="13"/>
  <c r="Q11" i="15" s="1"/>
  <c r="T10" i="13"/>
  <c r="I22" i="13"/>
  <c r="R23" i="15" s="1"/>
  <c r="I14" i="13"/>
  <c r="R15" i="15" s="1"/>
  <c r="H26" i="13"/>
  <c r="I13" i="13"/>
  <c r="R14" i="15" s="1"/>
  <c r="S14" i="15" s="1"/>
  <c r="I18" i="13"/>
  <c r="R19" i="15" s="1"/>
  <c r="H22" i="13"/>
  <c r="Q23" i="15" s="1"/>
  <c r="I20" i="13"/>
  <c r="R21" i="15" s="1"/>
  <c r="I12" i="13"/>
  <c r="R13" i="15" s="1"/>
  <c r="T24" i="13"/>
  <c r="T16" i="13"/>
  <c r="T23" i="13"/>
  <c r="T15" i="13"/>
  <c r="Y19" i="13"/>
  <c r="AD24" i="13"/>
  <c r="AI26" i="13"/>
  <c r="AX14" i="13"/>
  <c r="BR24" i="13"/>
  <c r="I21" i="13"/>
  <c r="R22" i="15" s="1"/>
  <c r="S22" i="15" s="1"/>
  <c r="H20" i="13"/>
  <c r="Q21" i="15" s="1"/>
  <c r="I19" i="13"/>
  <c r="R20" i="15" s="1"/>
  <c r="S20" i="15" s="1"/>
  <c r="O24" i="13"/>
  <c r="Y22" i="13"/>
  <c r="AD14" i="13"/>
  <c r="BR16" i="13"/>
  <c r="H14" i="13"/>
  <c r="Y11" i="13"/>
  <c r="AD18" i="13"/>
  <c r="BC20" i="13"/>
  <c r="BH18" i="13"/>
  <c r="BR23" i="13"/>
  <c r="J16" i="13"/>
  <c r="O22" i="13"/>
  <c r="O14" i="13"/>
  <c r="AS24" i="13"/>
  <c r="O20" i="13"/>
  <c r="AX18" i="13"/>
  <c r="BM18" i="13"/>
  <c r="H18" i="13"/>
  <c r="Y18" i="13"/>
  <c r="BH26" i="13"/>
  <c r="BM14" i="13"/>
  <c r="BR15" i="13"/>
  <c r="Y26" i="13"/>
  <c r="Y14" i="13"/>
  <c r="AS22" i="13"/>
  <c r="AS14" i="13"/>
  <c r="BC22" i="13"/>
  <c r="AL11" i="15"/>
  <c r="AK11" i="15"/>
  <c r="T10" i="20"/>
  <c r="O10" i="20"/>
  <c r="H10" i="20"/>
  <c r="I10" i="20"/>
  <c r="BM10" i="20"/>
  <c r="H10" i="14"/>
  <c r="H48" i="14" s="1"/>
  <c r="AC24" i="15"/>
  <c r="X47" i="15"/>
  <c r="AC61" i="15"/>
  <c r="X35" i="15"/>
  <c r="X63" i="15"/>
  <c r="X57" i="15"/>
  <c r="X51" i="15"/>
  <c r="AC41" i="15"/>
  <c r="X29" i="15"/>
  <c r="X23" i="15"/>
  <c r="T58" i="26"/>
  <c r="S9" i="26"/>
  <c r="P85" i="26"/>
  <c r="O85" i="26"/>
  <c r="G85" i="26"/>
  <c r="I85" i="26"/>
  <c r="J85" i="26"/>
  <c r="Q85" i="26"/>
  <c r="K85" i="26"/>
  <c r="L85" i="26"/>
  <c r="M85" i="26"/>
  <c r="N85" i="26"/>
  <c r="H85" i="26"/>
  <c r="E85" i="26"/>
  <c r="F85" i="26"/>
  <c r="R85" i="26"/>
  <c r="M440" i="25"/>
  <c r="G440" i="25"/>
  <c r="H440" i="25"/>
  <c r="D30" i="24"/>
  <c r="R11" i="24"/>
  <c r="D11" i="24" s="1"/>
  <c r="D83" i="24"/>
  <c r="D7" i="24"/>
  <c r="S13" i="24" s="1"/>
  <c r="AC49" i="15"/>
  <c r="AC37" i="15"/>
  <c r="X16" i="15"/>
  <c r="BL11" i="15"/>
  <c r="AC52" i="15"/>
  <c r="AC46" i="15"/>
  <c r="AC40" i="15"/>
  <c r="AC16" i="15"/>
  <c r="BV11" i="15"/>
  <c r="CF11" i="15"/>
  <c r="AC44" i="15"/>
  <c r="AC55" i="15"/>
  <c r="X19" i="15"/>
  <c r="AC59" i="15"/>
  <c r="AC63" i="15"/>
  <c r="X66" i="15"/>
  <c r="AC38" i="15"/>
  <c r="AC20" i="15"/>
  <c r="BQ11" i="15"/>
  <c r="X64" i="15"/>
  <c r="AC19" i="15"/>
  <c r="AC60" i="15"/>
  <c r="AC54" i="15"/>
  <c r="AC35" i="15"/>
  <c r="BG11" i="15"/>
  <c r="AC28" i="15"/>
  <c r="AC57" i="15"/>
  <c r="AC39" i="15"/>
  <c r="AC51" i="15"/>
  <c r="AC33" i="15"/>
  <c r="X42" i="15"/>
  <c r="X36" i="15"/>
  <c r="AC56" i="15"/>
  <c r="AC27" i="15"/>
  <c r="AC21" i="15"/>
  <c r="AC45" i="15"/>
  <c r="AC32" i="15"/>
  <c r="AC31" i="15"/>
  <c r="AC43" i="15"/>
  <c r="X27" i="15"/>
  <c r="AC65" i="15"/>
  <c r="AC53" i="15"/>
  <c r="AC12" i="15"/>
  <c r="X43" i="15"/>
  <c r="AC64" i="15"/>
  <c r="AC29" i="15"/>
  <c r="AC23" i="15"/>
  <c r="AC17" i="15"/>
  <c r="AC48" i="15"/>
  <c r="AC36" i="15"/>
  <c r="X31" i="15"/>
  <c r="X65" i="15"/>
  <c r="X49" i="15"/>
  <c r="X39" i="15"/>
  <c r="X60" i="15"/>
  <c r="X44" i="15"/>
  <c r="X33" i="15"/>
  <c r="X18" i="15"/>
  <c r="X13" i="15"/>
  <c r="X17" i="15"/>
  <c r="AC13" i="15"/>
  <c r="AC11" i="15"/>
  <c r="X53" i="15"/>
  <c r="X12" i="15"/>
  <c r="X32" i="15"/>
  <c r="AC67" i="15"/>
  <c r="AC47" i="15"/>
  <c r="X67" i="15"/>
  <c r="X41" i="15"/>
  <c r="X25" i="15"/>
  <c r="X15" i="15"/>
  <c r="AR11" i="15"/>
  <c r="X56" i="15"/>
  <c r="X61" i="15"/>
  <c r="X55" i="15"/>
  <c r="X45" i="15"/>
  <c r="X40" i="15"/>
  <c r="AC25" i="15"/>
  <c r="AC15" i="15"/>
  <c r="X54" i="15"/>
  <c r="X58" i="15"/>
  <c r="AC18" i="15"/>
  <c r="X30" i="15"/>
  <c r="AC58" i="15"/>
  <c r="AC66" i="15"/>
  <c r="X21" i="15"/>
  <c r="X59" i="15"/>
  <c r="X50" i="15"/>
  <c r="X26" i="15"/>
  <c r="AC50" i="15"/>
  <c r="AC62" i="15"/>
  <c r="X34" i="15"/>
  <c r="AC22" i="15"/>
  <c r="X62" i="15"/>
  <c r="X38" i="15"/>
  <c r="X14" i="15"/>
  <c r="AC26" i="15"/>
  <c r="X11" i="15"/>
  <c r="AC14" i="15"/>
  <c r="X24" i="15"/>
  <c r="X52" i="15"/>
  <c r="X37" i="15"/>
  <c r="X28" i="15"/>
  <c r="AC30" i="15"/>
  <c r="X48" i="15"/>
  <c r="AC34" i="15"/>
  <c r="X20" i="15"/>
  <c r="X46" i="15"/>
  <c r="X22" i="15"/>
  <c r="AC42" i="15"/>
  <c r="J26" i="13" l="1"/>
  <c r="R26" i="15"/>
  <c r="S26" i="15" s="1"/>
  <c r="S23" i="15"/>
  <c r="Q27" i="15"/>
  <c r="S27" i="15" s="1"/>
  <c r="J20" i="13"/>
  <c r="J15" i="13"/>
  <c r="S11" i="15"/>
  <c r="J22" i="13"/>
  <c r="S17" i="15"/>
  <c r="J24" i="13"/>
  <c r="R24" i="15"/>
  <c r="S24" i="15" s="1"/>
  <c r="J14" i="13"/>
  <c r="J13" i="13"/>
  <c r="J11" i="13"/>
  <c r="R18" i="15"/>
  <c r="S18" i="15" s="1"/>
  <c r="J21" i="13"/>
  <c r="J10" i="13"/>
  <c r="S25" i="15"/>
  <c r="J19" i="13"/>
  <c r="S13" i="15"/>
  <c r="J12" i="13"/>
  <c r="S21" i="15"/>
  <c r="Q15" i="15"/>
  <c r="S15" i="15" s="1"/>
  <c r="J18" i="13"/>
  <c r="Q19" i="15"/>
  <c r="S19" i="15" s="1"/>
  <c r="AF11" i="15"/>
  <c r="AG11" i="15"/>
  <c r="J10" i="14"/>
  <c r="S82" i="24"/>
  <c r="S81" i="24"/>
  <c r="R79" i="24"/>
  <c r="S22" i="24"/>
  <c r="S17" i="24"/>
  <c r="S26" i="24"/>
  <c r="S16" i="24"/>
  <c r="S14" i="24"/>
  <c r="S15" i="24"/>
  <c r="S23" i="24"/>
  <c r="S25" i="24"/>
  <c r="S20" i="24"/>
  <c r="S24" i="24"/>
  <c r="S19" i="24"/>
  <c r="S18" i="24"/>
  <c r="S27" i="24"/>
  <c r="S21" i="24"/>
  <c r="E5" i="24"/>
  <c r="S83" i="24"/>
  <c r="AM11" i="15"/>
  <c r="AH11" i="15" l="1"/>
  <c r="S7" i="24"/>
  <c r="S11" i="24"/>
  <c r="D79" i="24"/>
  <c r="R9" i="24"/>
  <c r="O10" i="13"/>
  <c r="R5" i="24" l="1"/>
  <c r="D9" i="24"/>
  <c r="H32" i="18"/>
  <c r="S79" i="24" l="1"/>
  <c r="S78" i="24"/>
  <c r="S73" i="24"/>
  <c r="S71" i="24"/>
  <c r="S64" i="24"/>
  <c r="S57" i="24"/>
  <c r="S63" i="24"/>
  <c r="S56" i="24"/>
  <c r="S49" i="24"/>
  <c r="S39" i="24"/>
  <c r="S75" i="24"/>
  <c r="S41" i="24"/>
  <c r="S55" i="24"/>
  <c r="S38" i="24"/>
  <c r="S53" i="24"/>
  <c r="S77" i="24"/>
  <c r="S61" i="24"/>
  <c r="S31" i="24"/>
  <c r="S76" i="24"/>
  <c r="S74" i="24"/>
  <c r="S37" i="24"/>
  <c r="S47" i="24"/>
  <c r="S48" i="24"/>
  <c r="S70" i="24"/>
  <c r="S44" i="24"/>
  <c r="S52" i="24"/>
  <c r="S36" i="24"/>
  <c r="S40" i="24"/>
  <c r="S58" i="24"/>
  <c r="S43" i="24"/>
  <c r="S72" i="24"/>
  <c r="S34" i="24"/>
  <c r="S35" i="24"/>
  <c r="S42" i="24"/>
  <c r="S65" i="24"/>
  <c r="S32" i="24"/>
  <c r="S54" i="24"/>
  <c r="S68" i="24"/>
  <c r="S50" i="24"/>
  <c r="S33" i="24"/>
  <c r="S67" i="24"/>
  <c r="S51" i="24"/>
  <c r="D5" i="24"/>
  <c r="R85" i="24" s="1"/>
  <c r="S30" i="24"/>
  <c r="S9" i="24" l="1"/>
  <c r="T58" i="24"/>
  <c r="D1" i="24"/>
  <c r="L85" i="24"/>
  <c r="O85" i="24"/>
  <c r="N85" i="24"/>
  <c r="K85" i="24"/>
  <c r="J85" i="24"/>
  <c r="F85" i="24"/>
  <c r="G85" i="24"/>
  <c r="P85" i="24"/>
  <c r="M85" i="24"/>
  <c r="Q85" i="24"/>
  <c r="I85" i="24"/>
  <c r="H85" i="24"/>
  <c r="E85" i="24"/>
  <c r="BB10" i="15" l="1"/>
  <c r="S13" i="18" l="1"/>
  <c r="O41" i="18" l="1"/>
  <c r="N40" i="18"/>
  <c r="L36" i="18"/>
  <c r="K35" i="18"/>
  <c r="J34" i="18"/>
  <c r="I33" i="18"/>
  <c r="F31" i="18"/>
  <c r="E30" i="18"/>
  <c r="E13" i="18"/>
  <c r="D11" i="18"/>
  <c r="C592" i="21"/>
  <c r="C593" i="21" s="1"/>
  <c r="C591" i="21"/>
  <c r="H578" i="21"/>
  <c r="H576" i="21"/>
  <c r="H574" i="21"/>
  <c r="H572" i="21"/>
  <c r="H570" i="21"/>
  <c r="H568" i="21"/>
  <c r="H566" i="21"/>
  <c r="H564" i="21"/>
  <c r="H562" i="21"/>
  <c r="H560" i="21"/>
  <c r="H558" i="21"/>
  <c r="H556" i="21"/>
  <c r="C586" i="21" s="1"/>
  <c r="H554" i="21"/>
  <c r="H552" i="21"/>
  <c r="H550" i="21"/>
  <c r="H548" i="21"/>
  <c r="H546" i="21"/>
  <c r="H544" i="21"/>
  <c r="H542" i="21"/>
  <c r="H540" i="21"/>
  <c r="H538" i="21"/>
  <c r="H536" i="21"/>
  <c r="H534" i="21"/>
  <c r="H532" i="21"/>
  <c r="H530" i="21"/>
  <c r="H528" i="21"/>
  <c r="H526" i="21"/>
  <c r="H524" i="21"/>
  <c r="H522" i="21"/>
  <c r="H520" i="21"/>
  <c r="H518" i="21"/>
  <c r="H516" i="21"/>
  <c r="H514" i="21"/>
  <c r="H512" i="21"/>
  <c r="H510" i="21"/>
  <c r="H508" i="21"/>
  <c r="H506" i="21"/>
  <c r="H504" i="21"/>
  <c r="H502" i="21"/>
  <c r="H500" i="21"/>
  <c r="H498" i="21"/>
  <c r="H496" i="21"/>
  <c r="C495" i="21"/>
  <c r="H494" i="21"/>
  <c r="H492" i="21"/>
  <c r="H490" i="21"/>
  <c r="H488" i="21"/>
  <c r="H486" i="21"/>
  <c r="H484" i="21"/>
  <c r="H482" i="21"/>
  <c r="H480" i="21"/>
  <c r="H478" i="21"/>
  <c r="H476" i="21"/>
  <c r="H474" i="21"/>
  <c r="H472" i="21"/>
  <c r="H470" i="21"/>
  <c r="H468" i="21"/>
  <c r="H466" i="21"/>
  <c r="H464" i="21"/>
  <c r="H462" i="21"/>
  <c r="H460" i="21"/>
  <c r="H458" i="21"/>
  <c r="H456" i="21"/>
  <c r="H454" i="21"/>
  <c r="H452" i="21"/>
  <c r="H450" i="21"/>
  <c r="H448" i="21"/>
  <c r="H446" i="21"/>
  <c r="H444" i="21"/>
  <c r="J442" i="21"/>
  <c r="H442" i="21"/>
  <c r="J440" i="21"/>
  <c r="H440" i="21"/>
  <c r="C439" i="21"/>
  <c r="AD435" i="21"/>
  <c r="J435" i="21"/>
  <c r="H435" i="21"/>
  <c r="C433" i="21"/>
  <c r="AC431" i="21"/>
  <c r="AB431" i="21"/>
  <c r="AA431" i="21"/>
  <c r="N431" i="21"/>
  <c r="E431" i="21"/>
  <c r="D431" i="21"/>
  <c r="C431" i="21"/>
  <c r="AD429" i="21"/>
  <c r="L429" i="21"/>
  <c r="F429" i="21"/>
  <c r="AD428" i="21"/>
  <c r="AD431" i="21" s="1"/>
  <c r="K428" i="21"/>
  <c r="J428" i="21"/>
  <c r="I428" i="21"/>
  <c r="H428" i="21"/>
  <c r="M428" i="21" s="1"/>
  <c r="G428" i="21"/>
  <c r="F428" i="21"/>
  <c r="AD427" i="21"/>
  <c r="K427" i="21"/>
  <c r="J427" i="21"/>
  <c r="I427" i="21"/>
  <c r="H427" i="21"/>
  <c r="G427" i="21"/>
  <c r="F427" i="21"/>
  <c r="AD426" i="21"/>
  <c r="K426" i="21"/>
  <c r="J426" i="21"/>
  <c r="I426" i="21"/>
  <c r="H426" i="21"/>
  <c r="G426" i="21"/>
  <c r="F426" i="21"/>
  <c r="F431" i="21" s="1"/>
  <c r="AD425" i="21"/>
  <c r="O425" i="21"/>
  <c r="L425" i="21"/>
  <c r="F425" i="21"/>
  <c r="AD424" i="21"/>
  <c r="O424" i="21"/>
  <c r="K424" i="21"/>
  <c r="J424" i="21"/>
  <c r="I424" i="21"/>
  <c r="H424" i="21"/>
  <c r="G424" i="21"/>
  <c r="AC421" i="21"/>
  <c r="AB421" i="21"/>
  <c r="AB433" i="21" s="1"/>
  <c r="AA421" i="21"/>
  <c r="O421" i="21"/>
  <c r="N421" i="21"/>
  <c r="E421" i="21"/>
  <c r="D421" i="21"/>
  <c r="C421" i="21"/>
  <c r="AD419" i="21"/>
  <c r="K419" i="21"/>
  <c r="J419" i="21"/>
  <c r="I419" i="21"/>
  <c r="H419" i="21"/>
  <c r="M419" i="21" s="1"/>
  <c r="G419" i="21"/>
  <c r="F419" i="21"/>
  <c r="AD418" i="21"/>
  <c r="K418" i="21"/>
  <c r="J418" i="21"/>
  <c r="I418" i="21"/>
  <c r="H418" i="21"/>
  <c r="M418" i="21" s="1"/>
  <c r="G418" i="21"/>
  <c r="F418" i="21"/>
  <c r="AD417" i="21"/>
  <c r="M417" i="21"/>
  <c r="L417" i="21"/>
  <c r="F417" i="21"/>
  <c r="AF417" i="21" s="1"/>
  <c r="AD416" i="21"/>
  <c r="AD421" i="21" s="1"/>
  <c r="AD433" i="21" s="1"/>
  <c r="K416" i="21"/>
  <c r="J416" i="21"/>
  <c r="I416" i="21"/>
  <c r="H416" i="21"/>
  <c r="M416" i="21" s="1"/>
  <c r="G416" i="21"/>
  <c r="AF416" i="21" s="1"/>
  <c r="F416" i="21"/>
  <c r="F421" i="21" s="1"/>
  <c r="AC413" i="21"/>
  <c r="AB413" i="21"/>
  <c r="AA413" i="21"/>
  <c r="AA433" i="21" s="1"/>
  <c r="N413" i="21"/>
  <c r="J413" i="21"/>
  <c r="I413" i="21"/>
  <c r="E413" i="21"/>
  <c r="D413" i="21"/>
  <c r="C413" i="21"/>
  <c r="AD411" i="21"/>
  <c r="K411" i="21"/>
  <c r="H411" i="21"/>
  <c r="G411" i="21"/>
  <c r="F411" i="21"/>
  <c r="AD410" i="21"/>
  <c r="AD413" i="21" s="1"/>
  <c r="K410" i="21"/>
  <c r="H410" i="21"/>
  <c r="M410" i="21" s="1"/>
  <c r="G410" i="21"/>
  <c r="F410" i="21"/>
  <c r="AD409" i="21"/>
  <c r="H409" i="21"/>
  <c r="M409" i="21" s="1"/>
  <c r="G409" i="21"/>
  <c r="F409" i="21"/>
  <c r="AD408" i="21"/>
  <c r="H408" i="21"/>
  <c r="M408" i="21" s="1"/>
  <c r="G408" i="21"/>
  <c r="F408" i="21"/>
  <c r="AD407" i="21"/>
  <c r="O407" i="21"/>
  <c r="K407" i="21"/>
  <c r="H407" i="21"/>
  <c r="G407" i="21"/>
  <c r="F407" i="21"/>
  <c r="AD406" i="21"/>
  <c r="O406" i="21"/>
  <c r="O413" i="21" s="1"/>
  <c r="K406" i="21"/>
  <c r="H406" i="21"/>
  <c r="G406" i="21"/>
  <c r="F406" i="21"/>
  <c r="AD405" i="21"/>
  <c r="L405" i="21"/>
  <c r="F405" i="21"/>
  <c r="F413" i="21" s="1"/>
  <c r="AD404" i="21"/>
  <c r="AC402" i="21"/>
  <c r="AB402" i="21"/>
  <c r="AA402" i="21"/>
  <c r="N402" i="21"/>
  <c r="F402" i="21"/>
  <c r="E402" i="21"/>
  <c r="D402" i="21"/>
  <c r="C402" i="21"/>
  <c r="AD400" i="21"/>
  <c r="K400" i="21"/>
  <c r="J400" i="21"/>
  <c r="I400" i="21"/>
  <c r="H400" i="21"/>
  <c r="M400" i="21" s="1"/>
  <c r="G400" i="21"/>
  <c r="F400" i="21"/>
  <c r="AF399" i="21"/>
  <c r="AD399" i="21"/>
  <c r="M399" i="21"/>
  <c r="L399" i="21"/>
  <c r="F399" i="21"/>
  <c r="AD398" i="21"/>
  <c r="K398" i="21"/>
  <c r="J398" i="21"/>
  <c r="I398" i="21"/>
  <c r="H398" i="21"/>
  <c r="M398" i="21" s="1"/>
  <c r="M402" i="21" s="1"/>
  <c r="G398" i="21"/>
  <c r="AF398" i="21" s="1"/>
  <c r="F398" i="21"/>
  <c r="AD397" i="21"/>
  <c r="O397" i="21"/>
  <c r="O402" i="21" s="1"/>
  <c r="K397" i="21"/>
  <c r="J397" i="21"/>
  <c r="I397" i="21"/>
  <c r="H397" i="21"/>
  <c r="G397" i="21"/>
  <c r="F397" i="21"/>
  <c r="AD396" i="21"/>
  <c r="L396" i="21"/>
  <c r="F396" i="21"/>
  <c r="AD395" i="21"/>
  <c r="AC393" i="21"/>
  <c r="AB393" i="21"/>
  <c r="AA393" i="21"/>
  <c r="O393" i="21"/>
  <c r="N393" i="21"/>
  <c r="E393" i="21"/>
  <c r="D393" i="21"/>
  <c r="C393" i="21"/>
  <c r="K391" i="21"/>
  <c r="J391" i="21"/>
  <c r="I391" i="21"/>
  <c r="H391" i="21"/>
  <c r="M391" i="21" s="1"/>
  <c r="G391" i="21"/>
  <c r="F391" i="21"/>
  <c r="K390" i="21"/>
  <c r="J390" i="21"/>
  <c r="I390" i="21"/>
  <c r="H390" i="21"/>
  <c r="M390" i="21" s="1"/>
  <c r="G390" i="21"/>
  <c r="F390" i="21"/>
  <c r="AD389" i="21"/>
  <c r="AD393" i="21" s="1"/>
  <c r="K389" i="21"/>
  <c r="J389" i="21"/>
  <c r="I389" i="21"/>
  <c r="H389" i="21"/>
  <c r="M389" i="21" s="1"/>
  <c r="G389" i="21"/>
  <c r="F389" i="21"/>
  <c r="AD388" i="21"/>
  <c r="K388" i="21"/>
  <c r="J388" i="21"/>
  <c r="I388" i="21"/>
  <c r="H388" i="21"/>
  <c r="M388" i="21" s="1"/>
  <c r="G388" i="21"/>
  <c r="F388" i="21"/>
  <c r="AF387" i="21"/>
  <c r="M387" i="21"/>
  <c r="L387" i="21"/>
  <c r="F387" i="21"/>
  <c r="AD386" i="21"/>
  <c r="K386" i="21"/>
  <c r="J386" i="21"/>
  <c r="I386" i="21"/>
  <c r="H386" i="21"/>
  <c r="M386" i="21" s="1"/>
  <c r="G386" i="21"/>
  <c r="AF386" i="21" s="1"/>
  <c r="AD385" i="21"/>
  <c r="K385" i="21"/>
  <c r="J385" i="21"/>
  <c r="I385" i="21"/>
  <c r="H385" i="21"/>
  <c r="M385" i="21" s="1"/>
  <c r="G385" i="21"/>
  <c r="F385" i="21"/>
  <c r="AD384" i="21"/>
  <c r="K384" i="21"/>
  <c r="J384" i="21"/>
  <c r="I384" i="21"/>
  <c r="H384" i="21"/>
  <c r="G384" i="21"/>
  <c r="F384" i="21"/>
  <c r="AD383" i="21"/>
  <c r="O381" i="21"/>
  <c r="N381" i="21"/>
  <c r="J381" i="21"/>
  <c r="I381" i="21"/>
  <c r="E381" i="21"/>
  <c r="D381" i="21"/>
  <c r="C381" i="21"/>
  <c r="K379" i="21"/>
  <c r="K381" i="21" s="1"/>
  <c r="H379" i="21"/>
  <c r="M379" i="21" s="1"/>
  <c r="G379" i="21"/>
  <c r="F379" i="21"/>
  <c r="F381" i="21" s="1"/>
  <c r="H378" i="21"/>
  <c r="M378" i="21" s="1"/>
  <c r="G378" i="21"/>
  <c r="F378" i="21"/>
  <c r="O375" i="21"/>
  <c r="N375" i="21"/>
  <c r="J375" i="21"/>
  <c r="I375" i="21"/>
  <c r="F375" i="21"/>
  <c r="E375" i="21"/>
  <c r="D375" i="21"/>
  <c r="C375" i="21"/>
  <c r="H373" i="21"/>
  <c r="M373" i="21" s="1"/>
  <c r="G373" i="21"/>
  <c r="H372" i="21"/>
  <c r="M372" i="21" s="1"/>
  <c r="G372" i="21"/>
  <c r="F372" i="21"/>
  <c r="H371" i="21"/>
  <c r="M371" i="21" s="1"/>
  <c r="G371" i="21"/>
  <c r="AF371" i="21" s="1"/>
  <c r="F371" i="21"/>
  <c r="K370" i="21"/>
  <c r="H370" i="21"/>
  <c r="M370" i="21" s="1"/>
  <c r="G370" i="21"/>
  <c r="F370" i="21"/>
  <c r="C370" i="21"/>
  <c r="K369" i="21"/>
  <c r="H369" i="21"/>
  <c r="M369" i="21" s="1"/>
  <c r="G369" i="21"/>
  <c r="O366" i="21"/>
  <c r="N366" i="21"/>
  <c r="I366" i="21"/>
  <c r="F366" i="21"/>
  <c r="E366" i="21"/>
  <c r="D366" i="21"/>
  <c r="C366" i="21"/>
  <c r="K364" i="21"/>
  <c r="J364" i="21"/>
  <c r="H364" i="21"/>
  <c r="M364" i="21" s="1"/>
  <c r="G364" i="21"/>
  <c r="K363" i="21"/>
  <c r="J363" i="21"/>
  <c r="H363" i="21"/>
  <c r="M363" i="21" s="1"/>
  <c r="G363" i="21"/>
  <c r="AF363" i="21" s="1"/>
  <c r="O360" i="21"/>
  <c r="N360" i="21"/>
  <c r="N433" i="21" s="1"/>
  <c r="I360" i="21"/>
  <c r="E360" i="21"/>
  <c r="D360" i="21"/>
  <c r="C360" i="21"/>
  <c r="K358" i="21"/>
  <c r="J358" i="21"/>
  <c r="H358" i="21"/>
  <c r="M358" i="21" s="1"/>
  <c r="G358" i="21"/>
  <c r="AF358" i="21" s="1"/>
  <c r="F358" i="21"/>
  <c r="F360" i="21" s="1"/>
  <c r="K357" i="21"/>
  <c r="J357" i="21"/>
  <c r="H357" i="21"/>
  <c r="M357" i="21" s="1"/>
  <c r="G357" i="21"/>
  <c r="AF357" i="21" s="1"/>
  <c r="K356" i="21"/>
  <c r="J356" i="21"/>
  <c r="H356" i="21"/>
  <c r="G356" i="21"/>
  <c r="O353" i="21"/>
  <c r="N353" i="21"/>
  <c r="I353" i="21"/>
  <c r="F353" i="21"/>
  <c r="E353" i="21"/>
  <c r="E433" i="21" s="1"/>
  <c r="D353" i="21"/>
  <c r="C353" i="21"/>
  <c r="K351" i="21"/>
  <c r="J351" i="21"/>
  <c r="H351" i="21"/>
  <c r="M351" i="21" s="1"/>
  <c r="G351" i="21"/>
  <c r="F351" i="21"/>
  <c r="K350" i="21"/>
  <c r="J350" i="21"/>
  <c r="H350" i="21"/>
  <c r="M350" i="21" s="1"/>
  <c r="G350" i="21"/>
  <c r="AF350" i="21" s="1"/>
  <c r="F350" i="21"/>
  <c r="P347" i="21"/>
  <c r="O347" i="21"/>
  <c r="N347" i="21"/>
  <c r="J347" i="21"/>
  <c r="I347" i="21"/>
  <c r="F347" i="21"/>
  <c r="E347" i="21"/>
  <c r="D347" i="21"/>
  <c r="C347" i="21"/>
  <c r="K345" i="21"/>
  <c r="H345" i="21"/>
  <c r="M345" i="21" s="1"/>
  <c r="G345" i="21"/>
  <c r="AF345" i="21" s="1"/>
  <c r="K344" i="21"/>
  <c r="H344" i="21"/>
  <c r="M344" i="21" s="1"/>
  <c r="G344" i="21"/>
  <c r="AF344" i="21" s="1"/>
  <c r="K343" i="21"/>
  <c r="H343" i="21"/>
  <c r="M343" i="21" s="1"/>
  <c r="G343" i="21"/>
  <c r="AF343" i="21" s="1"/>
  <c r="P340" i="21"/>
  <c r="O340" i="21"/>
  <c r="N340" i="21"/>
  <c r="K340" i="21"/>
  <c r="J340" i="21"/>
  <c r="I340" i="21"/>
  <c r="F340" i="21"/>
  <c r="E340" i="21"/>
  <c r="D340" i="21"/>
  <c r="C340" i="21"/>
  <c r="H338" i="21"/>
  <c r="M338" i="21" s="1"/>
  <c r="G338" i="21"/>
  <c r="AF338" i="21" s="1"/>
  <c r="H337" i="21"/>
  <c r="G337" i="21"/>
  <c r="AF337" i="21" s="1"/>
  <c r="AC332" i="21"/>
  <c r="AB332" i="21"/>
  <c r="AA332" i="21"/>
  <c r="N332" i="21"/>
  <c r="E332" i="21"/>
  <c r="D332" i="21"/>
  <c r="C332" i="21"/>
  <c r="O330" i="21"/>
  <c r="L330" i="21"/>
  <c r="O329" i="21"/>
  <c r="L329" i="21"/>
  <c r="AD328" i="21"/>
  <c r="O328" i="21"/>
  <c r="L328" i="21"/>
  <c r="F328" i="21"/>
  <c r="E328" i="21"/>
  <c r="AD327" i="21"/>
  <c r="O327" i="21"/>
  <c r="L327" i="21"/>
  <c r="F327" i="21"/>
  <c r="AD326" i="21"/>
  <c r="O326" i="21"/>
  <c r="L326" i="21"/>
  <c r="F326" i="21"/>
  <c r="E326" i="21"/>
  <c r="AD325" i="21"/>
  <c r="O325" i="21"/>
  <c r="F325" i="21"/>
  <c r="AD324" i="21"/>
  <c r="G324" i="21"/>
  <c r="E324" i="21"/>
  <c r="AD323" i="21"/>
  <c r="O323" i="21"/>
  <c r="L323" i="21"/>
  <c r="F323" i="21"/>
  <c r="AD322" i="21"/>
  <c r="O322" i="21"/>
  <c r="L322" i="21"/>
  <c r="F322" i="21"/>
  <c r="AD321" i="21"/>
  <c r="O321" i="21"/>
  <c r="L321" i="21"/>
  <c r="F321" i="21"/>
  <c r="AD320" i="21"/>
  <c r="O320" i="21"/>
  <c r="L320" i="21"/>
  <c r="F320" i="21"/>
  <c r="E320" i="21"/>
  <c r="AD319" i="21"/>
  <c r="O319" i="21"/>
  <c r="L319" i="21"/>
  <c r="F319" i="21"/>
  <c r="AD318" i="21"/>
  <c r="O318" i="21"/>
  <c r="L318" i="21"/>
  <c r="F318" i="21"/>
  <c r="AD317" i="21"/>
  <c r="O317" i="21"/>
  <c r="L317" i="21"/>
  <c r="F317" i="21"/>
  <c r="AD316" i="21"/>
  <c r="O316" i="21"/>
  <c r="L316" i="21"/>
  <c r="F316" i="21"/>
  <c r="AD315" i="21"/>
  <c r="O315" i="21"/>
  <c r="L315" i="21"/>
  <c r="F315" i="21"/>
  <c r="AD314" i="21"/>
  <c r="K314" i="21"/>
  <c r="J314" i="21"/>
  <c r="I314" i="21"/>
  <c r="H314" i="21"/>
  <c r="G314" i="21"/>
  <c r="F314" i="21"/>
  <c r="AD313" i="21"/>
  <c r="K313" i="21"/>
  <c r="J313" i="21"/>
  <c r="I313" i="21"/>
  <c r="H313" i="21"/>
  <c r="M313" i="21" s="1"/>
  <c r="M332" i="21" s="1"/>
  <c r="G313" i="21"/>
  <c r="AF313" i="21" s="1"/>
  <c r="F313" i="21"/>
  <c r="AD312" i="21"/>
  <c r="O312" i="21"/>
  <c r="F312" i="21"/>
  <c r="AD311" i="21"/>
  <c r="AD310" i="21"/>
  <c r="O310" i="21"/>
  <c r="L310" i="21"/>
  <c r="F310" i="21"/>
  <c r="AD309" i="21"/>
  <c r="O309" i="21"/>
  <c r="L309" i="21"/>
  <c r="F309" i="21"/>
  <c r="F332" i="21" s="1"/>
  <c r="AD308" i="21"/>
  <c r="AD306" i="21"/>
  <c r="AC306" i="21"/>
  <c r="AB306" i="21"/>
  <c r="N306" i="21"/>
  <c r="J306" i="21"/>
  <c r="I306" i="21"/>
  <c r="E306" i="21"/>
  <c r="D306" i="21"/>
  <c r="C306" i="21"/>
  <c r="AE304" i="21"/>
  <c r="O304" i="21"/>
  <c r="L304" i="21"/>
  <c r="F304" i="21"/>
  <c r="E304" i="21"/>
  <c r="AE303" i="21"/>
  <c r="O303" i="21"/>
  <c r="L303" i="21"/>
  <c r="F303" i="21"/>
  <c r="AE302" i="21"/>
  <c r="O302" i="21"/>
  <c r="L302" i="21"/>
  <c r="F302" i="21"/>
  <c r="AE301" i="21"/>
  <c r="E301" i="21"/>
  <c r="AE300" i="21"/>
  <c r="O300" i="21"/>
  <c r="L300" i="21"/>
  <c r="F300" i="21"/>
  <c r="AE299" i="21"/>
  <c r="O299" i="21"/>
  <c r="L299" i="21"/>
  <c r="F299" i="21"/>
  <c r="AE298" i="21"/>
  <c r="K298" i="21"/>
  <c r="L298" i="21" s="1"/>
  <c r="F298" i="21"/>
  <c r="AE297" i="21"/>
  <c r="K297" i="21"/>
  <c r="L297" i="21" s="1"/>
  <c r="F297" i="21"/>
  <c r="AE296" i="21"/>
  <c r="O296" i="21"/>
  <c r="L296" i="21"/>
  <c r="F296" i="21"/>
  <c r="AE295" i="21"/>
  <c r="O295" i="21"/>
  <c r="L295" i="21"/>
  <c r="F295" i="21"/>
  <c r="AE294" i="21"/>
  <c r="O294" i="21"/>
  <c r="L294" i="21"/>
  <c r="F294" i="21"/>
  <c r="AE293" i="21"/>
  <c r="O293" i="21"/>
  <c r="L293" i="21"/>
  <c r="F293" i="21"/>
  <c r="AE292" i="21"/>
  <c r="O292" i="21"/>
  <c r="L292" i="21"/>
  <c r="F292" i="21"/>
  <c r="AE291" i="21"/>
  <c r="AE306" i="21" s="1"/>
  <c r="H291" i="21"/>
  <c r="H306" i="21" s="1"/>
  <c r="G291" i="21"/>
  <c r="G306" i="21" s="1"/>
  <c r="F291" i="21"/>
  <c r="AE290" i="21"/>
  <c r="O290" i="21"/>
  <c r="L290" i="21"/>
  <c r="F290" i="21"/>
  <c r="AE289" i="21"/>
  <c r="AE288" i="21"/>
  <c r="O288" i="21"/>
  <c r="L288" i="21"/>
  <c r="F288" i="21"/>
  <c r="F306" i="21" s="1"/>
  <c r="AD285" i="21"/>
  <c r="AC285" i="21"/>
  <c r="AB285" i="21"/>
  <c r="O285" i="21"/>
  <c r="N285" i="21"/>
  <c r="D285" i="21"/>
  <c r="C285" i="21"/>
  <c r="AE283" i="21"/>
  <c r="M283" i="21"/>
  <c r="J283" i="21"/>
  <c r="L283" i="21" s="1"/>
  <c r="F283" i="21"/>
  <c r="AF283" i="21" s="1"/>
  <c r="AF282" i="21"/>
  <c r="AE282" i="21"/>
  <c r="M282" i="21"/>
  <c r="J282" i="21"/>
  <c r="L282" i="21" s="1"/>
  <c r="AE281" i="21"/>
  <c r="M281" i="21"/>
  <c r="J281" i="21"/>
  <c r="L281" i="21" s="1"/>
  <c r="F281" i="21"/>
  <c r="E281" i="21"/>
  <c r="AF280" i="21"/>
  <c r="AE280" i="21"/>
  <c r="M280" i="21"/>
  <c r="J280" i="21"/>
  <c r="L280" i="21" s="1"/>
  <c r="AE279" i="21"/>
  <c r="M279" i="21"/>
  <c r="J279" i="21"/>
  <c r="L279" i="21" s="1"/>
  <c r="F279" i="21"/>
  <c r="AF279" i="21" s="1"/>
  <c r="AF278" i="21"/>
  <c r="AE278" i="21"/>
  <c r="M278" i="21"/>
  <c r="E278" i="21"/>
  <c r="E285" i="21" s="1"/>
  <c r="AF277" i="21"/>
  <c r="AE277" i="21"/>
  <c r="M277" i="21"/>
  <c r="J277" i="21"/>
  <c r="L277" i="21" s="1"/>
  <c r="AE276" i="21"/>
  <c r="M276" i="21"/>
  <c r="J276" i="21"/>
  <c r="L276" i="21" s="1"/>
  <c r="F276" i="21"/>
  <c r="AF276" i="21" s="1"/>
  <c r="AF275" i="21"/>
  <c r="AE275" i="21"/>
  <c r="M275" i="21"/>
  <c r="J275" i="21"/>
  <c r="L275" i="21" s="1"/>
  <c r="F275" i="21"/>
  <c r="AE274" i="21"/>
  <c r="M274" i="21"/>
  <c r="J274" i="21"/>
  <c r="L274" i="21" s="1"/>
  <c r="F274" i="21"/>
  <c r="AF274" i="21" s="1"/>
  <c r="AF273" i="21"/>
  <c r="AE273" i="21"/>
  <c r="M273" i="21"/>
  <c r="J273" i="21"/>
  <c r="L273" i="21" s="1"/>
  <c r="F273" i="21"/>
  <c r="AE272" i="21"/>
  <c r="M272" i="21"/>
  <c r="J272" i="21"/>
  <c r="L272" i="21" s="1"/>
  <c r="F272" i="21"/>
  <c r="AF272" i="21" s="1"/>
  <c r="AF271" i="21"/>
  <c r="AE271" i="21"/>
  <c r="M271" i="21"/>
  <c r="J271" i="21"/>
  <c r="L271" i="21" s="1"/>
  <c r="F271" i="21"/>
  <c r="AE270" i="21"/>
  <c r="M270" i="21"/>
  <c r="J270" i="21"/>
  <c r="L270" i="21" s="1"/>
  <c r="F270" i="21"/>
  <c r="AF270" i="21" s="1"/>
  <c r="AF269" i="21"/>
  <c r="AE269" i="21"/>
  <c r="M269" i="21"/>
  <c r="J269" i="21"/>
  <c r="L269" i="21" s="1"/>
  <c r="F269" i="21"/>
  <c r="AE268" i="21"/>
  <c r="J268" i="21"/>
  <c r="I268" i="21"/>
  <c r="H268" i="21"/>
  <c r="M268" i="21" s="1"/>
  <c r="G268" i="21"/>
  <c r="F268" i="21"/>
  <c r="AE267" i="21"/>
  <c r="M267" i="21"/>
  <c r="J267" i="21"/>
  <c r="I267" i="21"/>
  <c r="F267" i="21"/>
  <c r="AF267" i="21" s="1"/>
  <c r="AF266" i="21"/>
  <c r="AE266" i="21"/>
  <c r="AE265" i="21"/>
  <c r="M265" i="21"/>
  <c r="K265" i="21"/>
  <c r="K285" i="21" s="1"/>
  <c r="J265" i="21"/>
  <c r="I265" i="21"/>
  <c r="G265" i="21"/>
  <c r="F265" i="21"/>
  <c r="AD262" i="21"/>
  <c r="AC262" i="21"/>
  <c r="AB262" i="21"/>
  <c r="AA262" i="21"/>
  <c r="O262" i="21"/>
  <c r="N262" i="21"/>
  <c r="E262" i="21"/>
  <c r="D262" i="21"/>
  <c r="C262" i="21"/>
  <c r="AF260" i="21"/>
  <c r="M260" i="21"/>
  <c r="L260" i="21"/>
  <c r="F260" i="21"/>
  <c r="AF259" i="21"/>
  <c r="AD259" i="21"/>
  <c r="M259" i="21"/>
  <c r="L259" i="21"/>
  <c r="F259" i="21"/>
  <c r="AF258" i="21"/>
  <c r="AD258" i="21"/>
  <c r="M258" i="21"/>
  <c r="L258" i="21"/>
  <c r="F258" i="21"/>
  <c r="AD257" i="21"/>
  <c r="M257" i="21"/>
  <c r="L257" i="21"/>
  <c r="F257" i="21"/>
  <c r="AF257" i="21" s="1"/>
  <c r="AF256" i="21"/>
  <c r="AD256" i="21"/>
  <c r="M256" i="21"/>
  <c r="L256" i="21"/>
  <c r="F256" i="21"/>
  <c r="AD255" i="21"/>
  <c r="M255" i="21"/>
  <c r="L255" i="21"/>
  <c r="F255" i="21"/>
  <c r="AF255" i="21" s="1"/>
  <c r="AF254" i="21"/>
  <c r="AD254" i="21"/>
  <c r="M254" i="21"/>
  <c r="L254" i="21"/>
  <c r="F254" i="21"/>
  <c r="AF253" i="21"/>
  <c r="AD253" i="21"/>
  <c r="M253" i="21"/>
  <c r="L253" i="21"/>
  <c r="F253" i="21"/>
  <c r="AF252" i="21"/>
  <c r="AD252" i="21"/>
  <c r="M252" i="21"/>
  <c r="L252" i="21"/>
  <c r="AD251" i="21"/>
  <c r="K251" i="21"/>
  <c r="J251" i="21"/>
  <c r="J262" i="21" s="1"/>
  <c r="I251" i="21"/>
  <c r="I262" i="21" s="1"/>
  <c r="H251" i="21"/>
  <c r="H262" i="21" s="1"/>
  <c r="G251" i="21"/>
  <c r="AF251" i="21" s="1"/>
  <c r="F251" i="21"/>
  <c r="AF250" i="21"/>
  <c r="AD250" i="21"/>
  <c r="M250" i="21"/>
  <c r="L250" i="21"/>
  <c r="F250" i="21"/>
  <c r="AF249" i="21"/>
  <c r="AD249" i="21"/>
  <c r="AD248" i="21"/>
  <c r="M248" i="21"/>
  <c r="L248" i="21"/>
  <c r="F248" i="21"/>
  <c r="AF248" i="21" s="1"/>
  <c r="AF247" i="21"/>
  <c r="M247" i="21"/>
  <c r="L247" i="21"/>
  <c r="F247" i="21"/>
  <c r="AF246" i="21"/>
  <c r="M246" i="21"/>
  <c r="L246" i="21"/>
  <c r="F246" i="21"/>
  <c r="AC243" i="21"/>
  <c r="AB243" i="21"/>
  <c r="AA243" i="21"/>
  <c r="N243" i="21"/>
  <c r="D243" i="21"/>
  <c r="C243" i="21"/>
  <c r="AD241" i="21"/>
  <c r="K241" i="21"/>
  <c r="J241" i="21"/>
  <c r="I241" i="21"/>
  <c r="H241" i="21"/>
  <c r="M241" i="21" s="1"/>
  <c r="G241" i="21"/>
  <c r="AF241" i="21" s="1"/>
  <c r="F241" i="21"/>
  <c r="E241" i="21"/>
  <c r="E243" i="21" s="1"/>
  <c r="M240" i="21"/>
  <c r="G240" i="21"/>
  <c r="F240" i="21"/>
  <c r="E240" i="21"/>
  <c r="AF239" i="21"/>
  <c r="AD239" i="21"/>
  <c r="O239" i="21"/>
  <c r="L239" i="21"/>
  <c r="F239" i="21"/>
  <c r="AF238" i="21"/>
  <c r="AD238" i="21"/>
  <c r="O238" i="21"/>
  <c r="L238" i="21"/>
  <c r="F238" i="21"/>
  <c r="AF237" i="21"/>
  <c r="AD237" i="21"/>
  <c r="O237" i="21"/>
  <c r="L237" i="21"/>
  <c r="F237" i="21"/>
  <c r="AD236" i="21"/>
  <c r="O236" i="21"/>
  <c r="L236" i="21"/>
  <c r="F236" i="21"/>
  <c r="AF236" i="21" s="1"/>
  <c r="AF235" i="21"/>
  <c r="AD235" i="21"/>
  <c r="O235" i="21"/>
  <c r="L235" i="21"/>
  <c r="F235" i="21"/>
  <c r="AD234" i="21"/>
  <c r="O234" i="21"/>
  <c r="L234" i="21"/>
  <c r="F234" i="21"/>
  <c r="AF234" i="21" s="1"/>
  <c r="AF233" i="21"/>
  <c r="AD233" i="21"/>
  <c r="O233" i="21"/>
  <c r="L233" i="21"/>
  <c r="F233" i="21"/>
  <c r="AF232" i="21"/>
  <c r="AD232" i="21"/>
  <c r="O232" i="21"/>
  <c r="L232" i="21"/>
  <c r="F232" i="21"/>
  <c r="AD231" i="21"/>
  <c r="O231" i="21"/>
  <c r="L231" i="21"/>
  <c r="F231" i="21"/>
  <c r="AF231" i="21" s="1"/>
  <c r="AD230" i="21"/>
  <c r="K230" i="21"/>
  <c r="J230" i="21"/>
  <c r="I230" i="21"/>
  <c r="H230" i="21"/>
  <c r="G230" i="21"/>
  <c r="F230" i="21"/>
  <c r="AD229" i="21"/>
  <c r="O229" i="21"/>
  <c r="O243" i="21" s="1"/>
  <c r="L229" i="21"/>
  <c r="F229" i="21"/>
  <c r="AD227" i="21"/>
  <c r="O227" i="21"/>
  <c r="L227" i="21"/>
  <c r="F227" i="21"/>
  <c r="AD226" i="21"/>
  <c r="O226" i="21"/>
  <c r="L226" i="21"/>
  <c r="F226" i="21"/>
  <c r="AC223" i="21"/>
  <c r="AB223" i="21"/>
  <c r="AA223" i="21"/>
  <c r="N223" i="21"/>
  <c r="O221" i="21"/>
  <c r="K221" i="21"/>
  <c r="H221" i="21"/>
  <c r="G221" i="21"/>
  <c r="F221" i="21"/>
  <c r="E221" i="21"/>
  <c r="AD220" i="21"/>
  <c r="O220" i="21"/>
  <c r="L220" i="21"/>
  <c r="F220" i="21"/>
  <c r="AD219" i="21"/>
  <c r="L219" i="21"/>
  <c r="F219" i="21"/>
  <c r="AD218" i="21"/>
  <c r="G218" i="21"/>
  <c r="E218" i="21"/>
  <c r="E223" i="21" s="1"/>
  <c r="AD217" i="21"/>
  <c r="AD223" i="21" s="1"/>
  <c r="K217" i="21"/>
  <c r="J217" i="21"/>
  <c r="I217" i="21"/>
  <c r="H217" i="21"/>
  <c r="M217" i="21" s="1"/>
  <c r="G217" i="21"/>
  <c r="AF217" i="21" s="1"/>
  <c r="F217" i="21"/>
  <c r="AD216" i="21"/>
  <c r="K216" i="21"/>
  <c r="J216" i="21"/>
  <c r="I216" i="21"/>
  <c r="H216" i="21"/>
  <c r="G216" i="21"/>
  <c r="AF216" i="21" s="1"/>
  <c r="F216" i="21"/>
  <c r="C216" i="21"/>
  <c r="AF215" i="21"/>
  <c r="AD215" i="21"/>
  <c r="O215" i="21"/>
  <c r="M215" i="21"/>
  <c r="L215" i="21"/>
  <c r="F215" i="21"/>
  <c r="C215" i="21"/>
  <c r="AD214" i="21"/>
  <c r="O214" i="21"/>
  <c r="M214" i="21" s="1"/>
  <c r="L214" i="21"/>
  <c r="F214" i="21"/>
  <c r="C214" i="21"/>
  <c r="AF214" i="21" s="1"/>
  <c r="AF213" i="21"/>
  <c r="AD213" i="21"/>
  <c r="O213" i="21"/>
  <c r="M213" i="21"/>
  <c r="L213" i="21"/>
  <c r="F213" i="21"/>
  <c r="D213" i="21"/>
  <c r="D223" i="21" s="1"/>
  <c r="C213" i="21"/>
  <c r="AD212" i="21"/>
  <c r="O212" i="21"/>
  <c r="M212" i="21" s="1"/>
  <c r="L212" i="21"/>
  <c r="F212" i="21"/>
  <c r="AF212" i="21" s="1"/>
  <c r="AD211" i="21"/>
  <c r="O211" i="21"/>
  <c r="M211" i="21"/>
  <c r="L211" i="21"/>
  <c r="F211" i="21"/>
  <c r="AF211" i="21" s="1"/>
  <c r="AD210" i="21"/>
  <c r="O210" i="21"/>
  <c r="M210" i="21" s="1"/>
  <c r="L210" i="21"/>
  <c r="F210" i="21"/>
  <c r="AF210" i="21" s="1"/>
  <c r="AD209" i="21"/>
  <c r="K209" i="21"/>
  <c r="J209" i="21"/>
  <c r="I209" i="21"/>
  <c r="H209" i="21"/>
  <c r="G209" i="21"/>
  <c r="F209" i="21"/>
  <c r="AD208" i="21"/>
  <c r="K208" i="21"/>
  <c r="J208" i="21"/>
  <c r="I208" i="21"/>
  <c r="H208" i="21"/>
  <c r="M208" i="21" s="1"/>
  <c r="G208" i="21"/>
  <c r="F208" i="21"/>
  <c r="C208" i="21"/>
  <c r="C223" i="21" s="1"/>
  <c r="AD207" i="21"/>
  <c r="O207" i="21"/>
  <c r="L207" i="21"/>
  <c r="F207" i="21"/>
  <c r="AD206" i="21"/>
  <c r="AD205" i="21"/>
  <c r="O205" i="21"/>
  <c r="L205" i="21"/>
  <c r="F205" i="21"/>
  <c r="AD204" i="21"/>
  <c r="O204" i="21"/>
  <c r="K204" i="21"/>
  <c r="J204" i="21"/>
  <c r="I204" i="21"/>
  <c r="H204" i="21"/>
  <c r="G204" i="21"/>
  <c r="F204" i="21"/>
  <c r="AC201" i="21"/>
  <c r="AB201" i="21"/>
  <c r="AA201" i="21"/>
  <c r="O201" i="21"/>
  <c r="N201" i="21"/>
  <c r="D201" i="21"/>
  <c r="C201" i="21"/>
  <c r="K199" i="21"/>
  <c r="H199" i="21"/>
  <c r="M199" i="21" s="1"/>
  <c r="G199" i="21"/>
  <c r="F199" i="21"/>
  <c r="AD198" i="21"/>
  <c r="M198" i="21"/>
  <c r="L198" i="21"/>
  <c r="F198" i="21"/>
  <c r="E198" i="21"/>
  <c r="AD197" i="21"/>
  <c r="M197" i="21"/>
  <c r="G197" i="21"/>
  <c r="AF197" i="21" s="1"/>
  <c r="E197" i="21"/>
  <c r="E201" i="21" s="1"/>
  <c r="AD196" i="21"/>
  <c r="K196" i="21"/>
  <c r="J196" i="21"/>
  <c r="I196" i="21"/>
  <c r="H196" i="21"/>
  <c r="G196" i="21"/>
  <c r="F196" i="21"/>
  <c r="AD195" i="21"/>
  <c r="K195" i="21"/>
  <c r="J195" i="21"/>
  <c r="I195" i="21"/>
  <c r="H195" i="21"/>
  <c r="M195" i="21" s="1"/>
  <c r="G195" i="21"/>
  <c r="F195" i="21"/>
  <c r="C195" i="21"/>
  <c r="AF194" i="21"/>
  <c r="AD194" i="21"/>
  <c r="M194" i="21"/>
  <c r="L194" i="21"/>
  <c r="F194" i="21"/>
  <c r="C194" i="21"/>
  <c r="AD193" i="21"/>
  <c r="K193" i="21"/>
  <c r="J193" i="21"/>
  <c r="I193" i="21"/>
  <c r="H193" i="21"/>
  <c r="M193" i="21" s="1"/>
  <c r="G193" i="21"/>
  <c r="AF193" i="21" s="1"/>
  <c r="F193" i="21"/>
  <c r="C193" i="21"/>
  <c r="AD192" i="21"/>
  <c r="M192" i="21"/>
  <c r="L192" i="21"/>
  <c r="F192" i="21"/>
  <c r="C192" i="21"/>
  <c r="AF192" i="21" s="1"/>
  <c r="AF191" i="21"/>
  <c r="AD191" i="21"/>
  <c r="M191" i="21"/>
  <c r="L191" i="21"/>
  <c r="F191" i="21"/>
  <c r="C191" i="21"/>
  <c r="AD190" i="21"/>
  <c r="M190" i="21"/>
  <c r="L190" i="21"/>
  <c r="F190" i="21"/>
  <c r="AF190" i="21" s="1"/>
  <c r="AF189" i="21"/>
  <c r="AD189" i="21"/>
  <c r="M189" i="21"/>
  <c r="L189" i="21"/>
  <c r="F189" i="21"/>
  <c r="AD188" i="21"/>
  <c r="M188" i="21"/>
  <c r="L188" i="21"/>
  <c r="F188" i="21"/>
  <c r="AF188" i="21" s="1"/>
  <c r="AD187" i="21"/>
  <c r="K187" i="21"/>
  <c r="J187" i="21"/>
  <c r="I187" i="21"/>
  <c r="H187" i="21"/>
  <c r="M187" i="21" s="1"/>
  <c r="G187" i="21"/>
  <c r="F187" i="21"/>
  <c r="C187" i="21"/>
  <c r="AF186" i="21"/>
  <c r="AD186" i="21"/>
  <c r="M186" i="21"/>
  <c r="L186" i="21"/>
  <c r="F186" i="21"/>
  <c r="C186" i="21"/>
  <c r="AF185" i="21"/>
  <c r="AD185" i="21"/>
  <c r="AD184" i="21"/>
  <c r="M184" i="21"/>
  <c r="L184" i="21"/>
  <c r="F184" i="21"/>
  <c r="AF184" i="21" s="1"/>
  <c r="AF183" i="21"/>
  <c r="AD183" i="21"/>
  <c r="M183" i="21"/>
  <c r="L183" i="21"/>
  <c r="F183" i="21"/>
  <c r="AF182" i="21"/>
  <c r="AD182" i="21"/>
  <c r="M182" i="21"/>
  <c r="L182" i="21"/>
  <c r="F182" i="21"/>
  <c r="AC179" i="21"/>
  <c r="AB179" i="21"/>
  <c r="AA179" i="21"/>
  <c r="N179" i="21"/>
  <c r="E179" i="21"/>
  <c r="D179" i="21"/>
  <c r="AD177" i="21"/>
  <c r="M177" i="21"/>
  <c r="G177" i="21"/>
  <c r="AF177" i="21" s="1"/>
  <c r="E177" i="21"/>
  <c r="AD176" i="21"/>
  <c r="K176" i="21"/>
  <c r="J176" i="21"/>
  <c r="I176" i="21"/>
  <c r="H176" i="21"/>
  <c r="M176" i="21" s="1"/>
  <c r="G176" i="21"/>
  <c r="F176" i="21"/>
  <c r="AD175" i="21"/>
  <c r="H175" i="21"/>
  <c r="M175" i="21" s="1"/>
  <c r="G175" i="21"/>
  <c r="F175" i="21"/>
  <c r="C175" i="21"/>
  <c r="AD174" i="21"/>
  <c r="M174" i="21"/>
  <c r="L174" i="21"/>
  <c r="F174" i="21"/>
  <c r="AF174" i="21" s="1"/>
  <c r="AD173" i="21"/>
  <c r="K173" i="21"/>
  <c r="J173" i="21"/>
  <c r="I173" i="21"/>
  <c r="H173" i="21"/>
  <c r="M173" i="21" s="1"/>
  <c r="G173" i="21"/>
  <c r="F173" i="21"/>
  <c r="C173" i="21"/>
  <c r="AD172" i="21"/>
  <c r="M172" i="21"/>
  <c r="L172" i="21"/>
  <c r="F172" i="21"/>
  <c r="C172" i="21"/>
  <c r="AF172" i="21" s="1"/>
  <c r="AD171" i="21"/>
  <c r="K171" i="21"/>
  <c r="J171" i="21"/>
  <c r="I171" i="21"/>
  <c r="H171" i="21"/>
  <c r="M171" i="21" s="1"/>
  <c r="G171" i="21"/>
  <c r="F171" i="21"/>
  <c r="C171" i="21"/>
  <c r="AF170" i="21"/>
  <c r="AD170" i="21"/>
  <c r="O170" i="21"/>
  <c r="M170" i="21" s="1"/>
  <c r="L170" i="21"/>
  <c r="F170" i="21"/>
  <c r="AD169" i="21"/>
  <c r="O169" i="21"/>
  <c r="M169" i="21" s="1"/>
  <c r="L169" i="21"/>
  <c r="F169" i="21"/>
  <c r="AF169" i="21" s="1"/>
  <c r="AD168" i="21"/>
  <c r="K168" i="21"/>
  <c r="J168" i="21"/>
  <c r="I168" i="21"/>
  <c r="H168" i="21"/>
  <c r="G168" i="21"/>
  <c r="AF168" i="21" s="1"/>
  <c r="F168" i="21"/>
  <c r="AD167" i="21"/>
  <c r="AD179" i="21" s="1"/>
  <c r="K167" i="21"/>
  <c r="J167" i="21"/>
  <c r="I167" i="21"/>
  <c r="H167" i="21"/>
  <c r="M167" i="21" s="1"/>
  <c r="G167" i="21"/>
  <c r="F167" i="21"/>
  <c r="C167" i="21"/>
  <c r="AD166" i="21"/>
  <c r="M166" i="21"/>
  <c r="L166" i="21"/>
  <c r="F166" i="21"/>
  <c r="F179" i="21" s="1"/>
  <c r="C166" i="21"/>
  <c r="C179" i="21" s="1"/>
  <c r="AD164" i="21"/>
  <c r="O164" i="21"/>
  <c r="L164" i="21"/>
  <c r="F164" i="21"/>
  <c r="AD161" i="21"/>
  <c r="AC161" i="21"/>
  <c r="AB161" i="21"/>
  <c r="AA161" i="21"/>
  <c r="N161" i="21"/>
  <c r="E161" i="21"/>
  <c r="D161" i="21"/>
  <c r="C161" i="21"/>
  <c r="K159" i="21"/>
  <c r="J159" i="21"/>
  <c r="I159" i="21"/>
  <c r="H159" i="21"/>
  <c r="M159" i="21" s="1"/>
  <c r="G159" i="21"/>
  <c r="AF159" i="21" s="1"/>
  <c r="F159" i="21"/>
  <c r="M158" i="21"/>
  <c r="G158" i="21"/>
  <c r="AF158" i="21" s="1"/>
  <c r="E158" i="21"/>
  <c r="K157" i="21"/>
  <c r="J157" i="21"/>
  <c r="I157" i="21"/>
  <c r="H157" i="21"/>
  <c r="M157" i="21" s="1"/>
  <c r="G157" i="21"/>
  <c r="F157" i="21"/>
  <c r="K156" i="21"/>
  <c r="J156" i="21"/>
  <c r="I156" i="21"/>
  <c r="H156" i="21"/>
  <c r="M156" i="21" s="1"/>
  <c r="G156" i="21"/>
  <c r="AF156" i="21" s="1"/>
  <c r="F156" i="21"/>
  <c r="O155" i="21"/>
  <c r="M155" i="21"/>
  <c r="L155" i="21"/>
  <c r="F155" i="21"/>
  <c r="AF155" i="21" s="1"/>
  <c r="K154" i="21"/>
  <c r="J154" i="21"/>
  <c r="I154" i="21"/>
  <c r="H154" i="21"/>
  <c r="M154" i="21" s="1"/>
  <c r="G154" i="21"/>
  <c r="F154" i="21"/>
  <c r="AF153" i="21"/>
  <c r="O153" i="21"/>
  <c r="M153" i="21" s="1"/>
  <c r="L153" i="21"/>
  <c r="F153" i="21"/>
  <c r="K152" i="21"/>
  <c r="J152" i="21"/>
  <c r="I152" i="21"/>
  <c r="H152" i="21"/>
  <c r="M152" i="21" s="1"/>
  <c r="G152" i="21"/>
  <c r="F152" i="21"/>
  <c r="AF151" i="21"/>
  <c r="O151" i="21"/>
  <c r="L151" i="21"/>
  <c r="O150" i="21"/>
  <c r="M150" i="21" s="1"/>
  <c r="L150" i="21"/>
  <c r="F150" i="21"/>
  <c r="AF150" i="21" s="1"/>
  <c r="K149" i="21"/>
  <c r="J149" i="21"/>
  <c r="I149" i="21"/>
  <c r="H149" i="21"/>
  <c r="M149" i="21" s="1"/>
  <c r="G149" i="21"/>
  <c r="F149" i="21"/>
  <c r="K148" i="21"/>
  <c r="J148" i="21"/>
  <c r="I148" i="21"/>
  <c r="H148" i="21"/>
  <c r="G148" i="21"/>
  <c r="F148" i="21"/>
  <c r="O147" i="21"/>
  <c r="L147" i="21"/>
  <c r="F147" i="21"/>
  <c r="O145" i="21"/>
  <c r="L145" i="21"/>
  <c r="F145" i="21"/>
  <c r="F161" i="21" s="1"/>
  <c r="O144" i="21"/>
  <c r="L144" i="21"/>
  <c r="AD141" i="21"/>
  <c r="AC141" i="21"/>
  <c r="AB141" i="21"/>
  <c r="AA141" i="21"/>
  <c r="O141" i="21"/>
  <c r="N141" i="21"/>
  <c r="D141" i="21"/>
  <c r="C141" i="21"/>
  <c r="H139" i="21"/>
  <c r="M139" i="21" s="1"/>
  <c r="G139" i="21"/>
  <c r="H138" i="21"/>
  <c r="G138" i="21"/>
  <c r="AF138" i="21" s="1"/>
  <c r="H137" i="21"/>
  <c r="M137" i="21" s="1"/>
  <c r="G137" i="21"/>
  <c r="K136" i="21"/>
  <c r="J136" i="21"/>
  <c r="H136" i="21"/>
  <c r="M136" i="21" s="1"/>
  <c r="G136" i="21"/>
  <c r="AF136" i="21" s="1"/>
  <c r="H135" i="21"/>
  <c r="M135" i="21" s="1"/>
  <c r="G135" i="21"/>
  <c r="AF135" i="21" s="1"/>
  <c r="E135" i="21"/>
  <c r="E141" i="21" s="1"/>
  <c r="K134" i="21"/>
  <c r="J134" i="21"/>
  <c r="I134" i="21"/>
  <c r="H134" i="21"/>
  <c r="M134" i="21" s="1"/>
  <c r="G134" i="21"/>
  <c r="F134" i="21"/>
  <c r="K133" i="21"/>
  <c r="J133" i="21"/>
  <c r="I133" i="21"/>
  <c r="H133" i="21"/>
  <c r="M133" i="21" s="1"/>
  <c r="G133" i="21"/>
  <c r="F133" i="21"/>
  <c r="K132" i="21"/>
  <c r="J132" i="21"/>
  <c r="I132" i="21"/>
  <c r="H132" i="21"/>
  <c r="M132" i="21" s="1"/>
  <c r="G132" i="21"/>
  <c r="F132" i="21"/>
  <c r="K131" i="21"/>
  <c r="J131" i="21"/>
  <c r="I131" i="21"/>
  <c r="H131" i="21"/>
  <c r="M131" i="21" s="1"/>
  <c r="G131" i="21"/>
  <c r="AF131" i="21" s="1"/>
  <c r="F131" i="21"/>
  <c r="K130" i="21"/>
  <c r="J130" i="21"/>
  <c r="I130" i="21"/>
  <c r="H130" i="21"/>
  <c r="M130" i="21" s="1"/>
  <c r="G130" i="21"/>
  <c r="F130" i="21"/>
  <c r="AF129" i="21"/>
  <c r="M129" i="21"/>
  <c r="L129" i="21"/>
  <c r="F129" i="21"/>
  <c r="AF128" i="21"/>
  <c r="M128" i="21"/>
  <c r="L128" i="21"/>
  <c r="K127" i="21"/>
  <c r="J127" i="21"/>
  <c r="I127" i="21"/>
  <c r="H127" i="21"/>
  <c r="M127" i="21" s="1"/>
  <c r="G127" i="21"/>
  <c r="AF127" i="21" s="1"/>
  <c r="F127" i="21"/>
  <c r="K126" i="21"/>
  <c r="J126" i="21"/>
  <c r="I126" i="21"/>
  <c r="H126" i="21"/>
  <c r="M126" i="21" s="1"/>
  <c r="G126" i="21"/>
  <c r="AF126" i="21" s="1"/>
  <c r="K125" i="21"/>
  <c r="J125" i="21"/>
  <c r="I125" i="21"/>
  <c r="H125" i="21"/>
  <c r="M125" i="21" s="1"/>
  <c r="G125" i="21"/>
  <c r="F125" i="21"/>
  <c r="AF124" i="21"/>
  <c r="M124" i="21"/>
  <c r="L124" i="21"/>
  <c r="F124" i="21"/>
  <c r="AF123" i="21"/>
  <c r="M122" i="21"/>
  <c r="L122" i="21"/>
  <c r="F122" i="21"/>
  <c r="AF122" i="21" s="1"/>
  <c r="K121" i="21"/>
  <c r="J121" i="21"/>
  <c r="I121" i="21"/>
  <c r="H121" i="21"/>
  <c r="M121" i="21" s="1"/>
  <c r="G121" i="21"/>
  <c r="AF121" i="21" s="1"/>
  <c r="F121" i="21"/>
  <c r="AD118" i="21"/>
  <c r="AC118" i="21"/>
  <c r="AB118" i="21"/>
  <c r="AA118" i="21"/>
  <c r="O118" i="21"/>
  <c r="N118" i="21"/>
  <c r="E118" i="21"/>
  <c r="D118" i="21"/>
  <c r="K116" i="21"/>
  <c r="H116" i="21"/>
  <c r="M116" i="21" s="1"/>
  <c r="G116" i="21"/>
  <c r="AF116" i="21" s="1"/>
  <c r="F116" i="21"/>
  <c r="H115" i="21"/>
  <c r="G115" i="21"/>
  <c r="AF115" i="21" s="1"/>
  <c r="F115" i="21"/>
  <c r="M114" i="21"/>
  <c r="G114" i="21"/>
  <c r="L114" i="21" s="1"/>
  <c r="E114" i="21"/>
  <c r="K113" i="21"/>
  <c r="J113" i="21"/>
  <c r="I113" i="21"/>
  <c r="H113" i="21"/>
  <c r="M113" i="21" s="1"/>
  <c r="G113" i="21"/>
  <c r="F113" i="21"/>
  <c r="K112" i="21"/>
  <c r="J112" i="21"/>
  <c r="I112" i="21"/>
  <c r="H112" i="21"/>
  <c r="M112" i="21" s="1"/>
  <c r="G112" i="21"/>
  <c r="F112" i="21"/>
  <c r="C112" i="21"/>
  <c r="C118" i="21" s="1"/>
  <c r="K111" i="21"/>
  <c r="J111" i="21"/>
  <c r="I111" i="21"/>
  <c r="H111" i="21"/>
  <c r="M111" i="21" s="1"/>
  <c r="G111" i="21"/>
  <c r="F111" i="21"/>
  <c r="K110" i="21"/>
  <c r="J110" i="21"/>
  <c r="I110" i="21"/>
  <c r="H110" i="21"/>
  <c r="M110" i="21" s="1"/>
  <c r="G110" i="21"/>
  <c r="AF110" i="21" s="1"/>
  <c r="F110" i="21"/>
  <c r="K109" i="21"/>
  <c r="J109" i="21"/>
  <c r="I109" i="21"/>
  <c r="H109" i="21"/>
  <c r="M109" i="21" s="1"/>
  <c r="G109" i="21"/>
  <c r="AF109" i="21" s="1"/>
  <c r="F109" i="21"/>
  <c r="K108" i="21"/>
  <c r="J108" i="21"/>
  <c r="I108" i="21"/>
  <c r="H108" i="21"/>
  <c r="M108" i="21" s="1"/>
  <c r="G108" i="21"/>
  <c r="F108" i="21"/>
  <c r="AF107" i="21"/>
  <c r="M107" i="21"/>
  <c r="L107" i="21"/>
  <c r="F107" i="21"/>
  <c r="K106" i="21"/>
  <c r="J106" i="21"/>
  <c r="I106" i="21"/>
  <c r="H106" i="21"/>
  <c r="M106" i="21" s="1"/>
  <c r="G106" i="21"/>
  <c r="F106" i="21"/>
  <c r="K105" i="21"/>
  <c r="J105" i="21"/>
  <c r="I105" i="21"/>
  <c r="H105" i="21"/>
  <c r="M105" i="21" s="1"/>
  <c r="G105" i="21"/>
  <c r="F105" i="21"/>
  <c r="K104" i="21"/>
  <c r="J104" i="21"/>
  <c r="I104" i="21"/>
  <c r="H104" i="21"/>
  <c r="M104" i="21" s="1"/>
  <c r="G104" i="21"/>
  <c r="F104" i="21"/>
  <c r="K103" i="21"/>
  <c r="J103" i="21"/>
  <c r="I103" i="21"/>
  <c r="H103" i="21"/>
  <c r="M103" i="21" s="1"/>
  <c r="G103" i="21"/>
  <c r="AF103" i="21" s="1"/>
  <c r="F103" i="21"/>
  <c r="AF102" i="21"/>
  <c r="M101" i="21"/>
  <c r="L101" i="21"/>
  <c r="F101" i="21"/>
  <c r="AF101" i="21" s="1"/>
  <c r="K100" i="21"/>
  <c r="J100" i="21"/>
  <c r="I100" i="21"/>
  <c r="H100" i="21"/>
  <c r="M100" i="21" s="1"/>
  <c r="G100" i="21"/>
  <c r="F100" i="21"/>
  <c r="K99" i="21"/>
  <c r="J99" i="21"/>
  <c r="I99" i="21"/>
  <c r="H99" i="21"/>
  <c r="M99" i="21" s="1"/>
  <c r="G99" i="21"/>
  <c r="AF99" i="21" s="1"/>
  <c r="F99" i="21"/>
  <c r="K98" i="21"/>
  <c r="J98" i="21"/>
  <c r="I98" i="21"/>
  <c r="H98" i="21"/>
  <c r="M98" i="21" s="1"/>
  <c r="G98" i="21"/>
  <c r="F98" i="21"/>
  <c r="K97" i="21"/>
  <c r="J97" i="21"/>
  <c r="I97" i="21"/>
  <c r="H97" i="21"/>
  <c r="G97" i="21"/>
  <c r="F97" i="21"/>
  <c r="AD94" i="21"/>
  <c r="AC94" i="21"/>
  <c r="AB94" i="21"/>
  <c r="AA94" i="21"/>
  <c r="O94" i="21"/>
  <c r="N94" i="21"/>
  <c r="J94" i="21"/>
  <c r="E94" i="21"/>
  <c r="D94" i="21"/>
  <c r="C94" i="21"/>
  <c r="H92" i="21"/>
  <c r="M92" i="21" s="1"/>
  <c r="G92" i="21"/>
  <c r="H91" i="21"/>
  <c r="M91" i="21" s="1"/>
  <c r="G91" i="21"/>
  <c r="K90" i="21"/>
  <c r="H90" i="21"/>
  <c r="M90" i="21" s="1"/>
  <c r="G90" i="21"/>
  <c r="F90" i="21"/>
  <c r="K89" i="21"/>
  <c r="H89" i="21"/>
  <c r="M89" i="21" s="1"/>
  <c r="G89" i="21"/>
  <c r="F89" i="21"/>
  <c r="K88" i="21"/>
  <c r="H88" i="21"/>
  <c r="M88" i="21" s="1"/>
  <c r="G88" i="21"/>
  <c r="F88" i="21"/>
  <c r="K87" i="21"/>
  <c r="H87" i="21"/>
  <c r="M87" i="21" s="1"/>
  <c r="G87" i="21"/>
  <c r="F87" i="21"/>
  <c r="H86" i="21"/>
  <c r="M86" i="21" s="1"/>
  <c r="G86" i="21"/>
  <c r="AF86" i="21" s="1"/>
  <c r="H85" i="21"/>
  <c r="M85" i="21" s="1"/>
  <c r="G85" i="21"/>
  <c r="AF85" i="21" s="1"/>
  <c r="K84" i="21"/>
  <c r="H84" i="21"/>
  <c r="M84" i="21" s="1"/>
  <c r="G84" i="21"/>
  <c r="AF84" i="21" s="1"/>
  <c r="H83" i="21"/>
  <c r="M83" i="21" s="1"/>
  <c r="G83" i="21"/>
  <c r="AF83" i="21" s="1"/>
  <c r="F83" i="21"/>
  <c r="K82" i="21"/>
  <c r="H82" i="21"/>
  <c r="M82" i="21" s="1"/>
  <c r="G82" i="21"/>
  <c r="F82" i="21"/>
  <c r="AF81" i="21"/>
  <c r="M81" i="21"/>
  <c r="H80" i="21"/>
  <c r="M80" i="21" s="1"/>
  <c r="G80" i="21"/>
  <c r="AF80" i="21" s="1"/>
  <c r="F80" i="21"/>
  <c r="H79" i="21"/>
  <c r="M79" i="21" s="1"/>
  <c r="G79" i="21"/>
  <c r="AF79" i="21" s="1"/>
  <c r="F79" i="21"/>
  <c r="K78" i="21"/>
  <c r="H78" i="21"/>
  <c r="M78" i="21" s="1"/>
  <c r="G78" i="21"/>
  <c r="F78" i="21"/>
  <c r="AD75" i="21"/>
  <c r="AC75" i="21"/>
  <c r="AB75" i="21"/>
  <c r="AA75" i="21"/>
  <c r="O75" i="21"/>
  <c r="N75" i="21"/>
  <c r="I75" i="21"/>
  <c r="F75" i="21"/>
  <c r="E75" i="21"/>
  <c r="C75" i="21"/>
  <c r="K73" i="21"/>
  <c r="J73" i="21"/>
  <c r="H73" i="21"/>
  <c r="M73" i="21" s="1"/>
  <c r="G73" i="21"/>
  <c r="D73" i="21"/>
  <c r="K72" i="21"/>
  <c r="J72" i="21"/>
  <c r="H72" i="21"/>
  <c r="M72" i="21" s="1"/>
  <c r="G72" i="21"/>
  <c r="F72" i="21"/>
  <c r="K71" i="21"/>
  <c r="J71" i="21"/>
  <c r="H71" i="21"/>
  <c r="M71" i="21" s="1"/>
  <c r="G71" i="21"/>
  <c r="AF71" i="21" s="1"/>
  <c r="K70" i="21"/>
  <c r="J70" i="21"/>
  <c r="H70" i="21"/>
  <c r="M70" i="21" s="1"/>
  <c r="G70" i="21"/>
  <c r="K69" i="21"/>
  <c r="J69" i="21"/>
  <c r="H69" i="21"/>
  <c r="G69" i="21"/>
  <c r="AF69" i="21" s="1"/>
  <c r="F69" i="21"/>
  <c r="AD66" i="21"/>
  <c r="AC66" i="21"/>
  <c r="AB66" i="21"/>
  <c r="AA66" i="21"/>
  <c r="O66" i="21"/>
  <c r="N66" i="21"/>
  <c r="N334" i="21" s="1"/>
  <c r="N438" i="21" s="1"/>
  <c r="I66" i="21"/>
  <c r="D66" i="21"/>
  <c r="C66" i="21"/>
  <c r="K64" i="21"/>
  <c r="J64" i="21"/>
  <c r="H64" i="21"/>
  <c r="M64" i="21" s="1"/>
  <c r="G64" i="21"/>
  <c r="AF64" i="21" s="1"/>
  <c r="H63" i="21"/>
  <c r="M63" i="21" s="1"/>
  <c r="G63" i="21"/>
  <c r="E63" i="21"/>
  <c r="K62" i="21"/>
  <c r="J62" i="21"/>
  <c r="H62" i="21"/>
  <c r="M62" i="21" s="1"/>
  <c r="G62" i="21"/>
  <c r="AF62" i="21" s="1"/>
  <c r="K61" i="21"/>
  <c r="J61" i="21"/>
  <c r="H61" i="21"/>
  <c r="M61" i="21" s="1"/>
  <c r="G61" i="21"/>
  <c r="AF61" i="21" s="1"/>
  <c r="F61" i="21"/>
  <c r="K60" i="21"/>
  <c r="J60" i="21"/>
  <c r="H60" i="21"/>
  <c r="M60" i="21" s="1"/>
  <c r="G60" i="21"/>
  <c r="F60" i="21"/>
  <c r="K59" i="21"/>
  <c r="J59" i="21"/>
  <c r="H59" i="21"/>
  <c r="M59" i="21" s="1"/>
  <c r="G59" i="21"/>
  <c r="AF59" i="21" s="1"/>
  <c r="F59" i="21"/>
  <c r="K58" i="21"/>
  <c r="J58" i="21"/>
  <c r="H58" i="21"/>
  <c r="M58" i="21" s="1"/>
  <c r="G58" i="21"/>
  <c r="AF58" i="21" s="1"/>
  <c r="K57" i="21"/>
  <c r="J57" i="21"/>
  <c r="H57" i="21"/>
  <c r="M57" i="21" s="1"/>
  <c r="G57" i="21"/>
  <c r="K56" i="21"/>
  <c r="J56" i="21"/>
  <c r="H56" i="21"/>
  <c r="M56" i="21" s="1"/>
  <c r="G56" i="21"/>
  <c r="AF56" i="21" s="1"/>
  <c r="K55" i="21"/>
  <c r="J55" i="21"/>
  <c r="H55" i="21"/>
  <c r="M55" i="21" s="1"/>
  <c r="G55" i="21"/>
  <c r="F55" i="21"/>
  <c r="K54" i="21"/>
  <c r="J54" i="21"/>
  <c r="H54" i="21"/>
  <c r="M54" i="21" s="1"/>
  <c r="G54" i="21"/>
  <c r="K53" i="21"/>
  <c r="J53" i="21"/>
  <c r="H53" i="21"/>
  <c r="M53" i="21" s="1"/>
  <c r="G53" i="21"/>
  <c r="AF53" i="21" s="1"/>
  <c r="K52" i="21"/>
  <c r="J52" i="21"/>
  <c r="H52" i="21"/>
  <c r="M52" i="21" s="1"/>
  <c r="G52" i="21"/>
  <c r="AF51" i="21"/>
  <c r="K50" i="21"/>
  <c r="J50" i="21"/>
  <c r="H50" i="21"/>
  <c r="M50" i="21" s="1"/>
  <c r="G50" i="21"/>
  <c r="AF50" i="21" s="1"/>
  <c r="F50" i="21"/>
  <c r="AE47" i="21"/>
  <c r="AD47" i="21"/>
  <c r="Q47" i="21"/>
  <c r="P47" i="21"/>
  <c r="N47" i="21"/>
  <c r="I47" i="21"/>
  <c r="D47" i="21"/>
  <c r="H45" i="21"/>
  <c r="M45" i="21" s="1"/>
  <c r="G45" i="21"/>
  <c r="AF45" i="21" s="1"/>
  <c r="H44" i="21"/>
  <c r="M44" i="21" s="1"/>
  <c r="G44" i="21"/>
  <c r="H43" i="21"/>
  <c r="M43" i="21" s="1"/>
  <c r="G43" i="21"/>
  <c r="AF43" i="21" s="1"/>
  <c r="H42" i="21"/>
  <c r="M42" i="21" s="1"/>
  <c r="G42" i="21"/>
  <c r="E42" i="21"/>
  <c r="E47" i="21" s="1"/>
  <c r="K41" i="21"/>
  <c r="J41" i="21"/>
  <c r="H41" i="21"/>
  <c r="M41" i="21" s="1"/>
  <c r="G41" i="21"/>
  <c r="AF41" i="21" s="1"/>
  <c r="K40" i="21"/>
  <c r="J40" i="21"/>
  <c r="H40" i="21"/>
  <c r="M40" i="21" s="1"/>
  <c r="G40" i="21"/>
  <c r="AF40" i="21" s="1"/>
  <c r="K39" i="21"/>
  <c r="J39" i="21"/>
  <c r="H39" i="21"/>
  <c r="M39" i="21" s="1"/>
  <c r="G39" i="21"/>
  <c r="K38" i="21"/>
  <c r="J38" i="21"/>
  <c r="H38" i="21"/>
  <c r="M38" i="21" s="1"/>
  <c r="G38" i="21"/>
  <c r="F38" i="21"/>
  <c r="K37" i="21"/>
  <c r="J37" i="21"/>
  <c r="H37" i="21"/>
  <c r="M37" i="21" s="1"/>
  <c r="G37" i="21"/>
  <c r="K36" i="21"/>
  <c r="J36" i="21"/>
  <c r="H36" i="21"/>
  <c r="M36" i="21" s="1"/>
  <c r="G36" i="21"/>
  <c r="AF36" i="21" s="1"/>
  <c r="K35" i="21"/>
  <c r="J35" i="21"/>
  <c r="H35" i="21"/>
  <c r="M35" i="21" s="1"/>
  <c r="G35" i="21"/>
  <c r="AF35" i="21" s="1"/>
  <c r="K34" i="21"/>
  <c r="J34" i="21"/>
  <c r="H34" i="21"/>
  <c r="M34" i="21" s="1"/>
  <c r="G34" i="21"/>
  <c r="AF34" i="21" s="1"/>
  <c r="K33" i="21"/>
  <c r="J33" i="21"/>
  <c r="H33" i="21"/>
  <c r="M33" i="21" s="1"/>
  <c r="G33" i="21"/>
  <c r="F33" i="21"/>
  <c r="K32" i="21"/>
  <c r="J32" i="21"/>
  <c r="H32" i="21"/>
  <c r="M32" i="21" s="1"/>
  <c r="G32" i="21"/>
  <c r="C32" i="21"/>
  <c r="K31" i="21"/>
  <c r="J31" i="21"/>
  <c r="H31" i="21"/>
  <c r="M31" i="21" s="1"/>
  <c r="G31" i="21"/>
  <c r="AF31" i="21" s="1"/>
  <c r="F31" i="21"/>
  <c r="C31" i="21"/>
  <c r="C47" i="21" s="1"/>
  <c r="AF30" i="21"/>
  <c r="O30" i="21"/>
  <c r="O47" i="21" s="1"/>
  <c r="L30" i="21"/>
  <c r="K29" i="21"/>
  <c r="J29" i="21"/>
  <c r="H29" i="21"/>
  <c r="M29" i="21" s="1"/>
  <c r="G29" i="21"/>
  <c r="AF29" i="21" s="1"/>
  <c r="K28" i="21"/>
  <c r="J28" i="21"/>
  <c r="H28" i="21"/>
  <c r="G28" i="21"/>
  <c r="F28" i="21"/>
  <c r="AE25" i="21"/>
  <c r="AD25" i="21"/>
  <c r="Q25" i="21"/>
  <c r="P25" i="21"/>
  <c r="O25" i="21"/>
  <c r="N25" i="21"/>
  <c r="K25" i="21"/>
  <c r="J25" i="21"/>
  <c r="I25" i="21"/>
  <c r="I94" i="21" s="1"/>
  <c r="F25" i="21"/>
  <c r="E25" i="21"/>
  <c r="D25" i="21"/>
  <c r="H23" i="21"/>
  <c r="M23" i="21" s="1"/>
  <c r="G23" i="21"/>
  <c r="C23" i="21"/>
  <c r="H22" i="21"/>
  <c r="M22" i="21" s="1"/>
  <c r="G22" i="21"/>
  <c r="AF22" i="21" s="1"/>
  <c r="H21" i="21"/>
  <c r="M21" i="21" s="1"/>
  <c r="G21" i="21"/>
  <c r="AF21" i="21" s="1"/>
  <c r="H20" i="21"/>
  <c r="M20" i="21" s="1"/>
  <c r="G20" i="21"/>
  <c r="AF20" i="21" s="1"/>
  <c r="H19" i="21"/>
  <c r="M19" i="21" s="1"/>
  <c r="G19" i="21"/>
  <c r="AF19" i="21" s="1"/>
  <c r="H18" i="21"/>
  <c r="G18" i="21"/>
  <c r="AF18" i="21" s="1"/>
  <c r="C18" i="21"/>
  <c r="H17" i="21"/>
  <c r="M17" i="21" s="1"/>
  <c r="G17" i="21"/>
  <c r="H16" i="21"/>
  <c r="M16" i="21" s="1"/>
  <c r="G16" i="21"/>
  <c r="H15" i="21"/>
  <c r="M15" i="21" s="1"/>
  <c r="G15" i="21"/>
  <c r="AF15" i="21" s="1"/>
  <c r="H14" i="21"/>
  <c r="M14" i="21" s="1"/>
  <c r="G14" i="21"/>
  <c r="AF14" i="21" s="1"/>
  <c r="H13" i="21"/>
  <c r="M13" i="21" s="1"/>
  <c r="G13" i="21"/>
  <c r="AF13" i="21" s="1"/>
  <c r="H12" i="21"/>
  <c r="M12" i="21" s="1"/>
  <c r="G12" i="21"/>
  <c r="AF12" i="21" s="1"/>
  <c r="H11" i="21"/>
  <c r="G11" i="21"/>
  <c r="AF11" i="21" s="1"/>
  <c r="H10" i="21"/>
  <c r="M10" i="21" s="1"/>
  <c r="G10" i="21"/>
  <c r="AF10" i="21" s="1"/>
  <c r="C10" i="21"/>
  <c r="C25" i="21" s="1"/>
  <c r="H9" i="21"/>
  <c r="M9" i="21" s="1"/>
  <c r="G9" i="21"/>
  <c r="AF9" i="21" s="1"/>
  <c r="C9" i="21"/>
  <c r="AF8" i="21"/>
  <c r="H7" i="21"/>
  <c r="M7" i="21" s="1"/>
  <c r="G7" i="21"/>
  <c r="D538" i="18"/>
  <c r="D528" i="18"/>
  <c r="D520" i="18"/>
  <c r="D509" i="18"/>
  <c r="D473" i="18"/>
  <c r="D467" i="18"/>
  <c r="D460" i="18"/>
  <c r="D454" i="18"/>
  <c r="D447" i="18"/>
  <c r="D439" i="18"/>
  <c r="D413" i="18"/>
  <c r="D392" i="18"/>
  <c r="D369" i="18"/>
  <c r="D350" i="18"/>
  <c r="D330" i="18"/>
  <c r="D308" i="18"/>
  <c r="D286" i="18"/>
  <c r="D268" i="18"/>
  <c r="D248" i="18"/>
  <c r="D201" i="18"/>
  <c r="D182" i="18"/>
  <c r="D173" i="18"/>
  <c r="D154" i="18"/>
  <c r="L137" i="21" l="1"/>
  <c r="J243" i="21"/>
  <c r="L378" i="21"/>
  <c r="AF113" i="21"/>
  <c r="AF88" i="21"/>
  <c r="L91" i="21"/>
  <c r="AF106" i="21"/>
  <c r="L408" i="21"/>
  <c r="L373" i="21"/>
  <c r="M421" i="21"/>
  <c r="L42" i="21"/>
  <c r="AF385" i="21"/>
  <c r="AF55" i="21"/>
  <c r="L80" i="21"/>
  <c r="AF63" i="21"/>
  <c r="O216" i="21"/>
  <c r="M216" i="21" s="1"/>
  <c r="AF132" i="21"/>
  <c r="AF134" i="21"/>
  <c r="AF108" i="21"/>
  <c r="L89" i="21"/>
  <c r="L78" i="21"/>
  <c r="G421" i="21"/>
  <c r="AF421" i="21" s="1"/>
  <c r="L427" i="21"/>
  <c r="O429" i="21"/>
  <c r="O431" i="21" s="1"/>
  <c r="O433" i="21" s="1"/>
  <c r="L419" i="21"/>
  <c r="L11" i="21"/>
  <c r="AF137" i="21"/>
  <c r="AF176" i="21"/>
  <c r="AF409" i="21"/>
  <c r="AF418" i="21"/>
  <c r="AF370" i="21"/>
  <c r="L138" i="21"/>
  <c r="L221" i="21"/>
  <c r="L418" i="21"/>
  <c r="L371" i="21"/>
  <c r="G402" i="21"/>
  <c r="AF402" i="21" s="1"/>
  <c r="L139" i="21"/>
  <c r="M291" i="21"/>
  <c r="M306" i="21" s="1"/>
  <c r="H402" i="21"/>
  <c r="L45" i="21"/>
  <c r="L154" i="21"/>
  <c r="L64" i="21"/>
  <c r="L54" i="21"/>
  <c r="AF125" i="21"/>
  <c r="H360" i="21"/>
  <c r="J402" i="21"/>
  <c r="L72" i="21"/>
  <c r="L100" i="21"/>
  <c r="L130" i="21"/>
  <c r="AF230" i="21"/>
  <c r="I332" i="21"/>
  <c r="H243" i="21"/>
  <c r="J332" i="21"/>
  <c r="AF400" i="21"/>
  <c r="L173" i="21"/>
  <c r="I243" i="21"/>
  <c r="I421" i="21"/>
  <c r="O298" i="21"/>
  <c r="L32" i="21"/>
  <c r="L73" i="21"/>
  <c r="AF154" i="21"/>
  <c r="L167" i="21"/>
  <c r="AF175" i="21"/>
  <c r="J366" i="21"/>
  <c r="J421" i="21"/>
  <c r="L16" i="21"/>
  <c r="L20" i="21"/>
  <c r="L39" i="21"/>
  <c r="L105" i="21"/>
  <c r="H161" i="21"/>
  <c r="AF157" i="21"/>
  <c r="AF240" i="21"/>
  <c r="L358" i="21"/>
  <c r="J393" i="21"/>
  <c r="AF410" i="21"/>
  <c r="K421" i="21"/>
  <c r="L121" i="21"/>
  <c r="K332" i="21"/>
  <c r="AF139" i="21"/>
  <c r="L127" i="21"/>
  <c r="AF378" i="21"/>
  <c r="L12" i="21"/>
  <c r="AF91" i="21"/>
  <c r="AF38" i="21"/>
  <c r="K94" i="21"/>
  <c r="AF87" i="21"/>
  <c r="AF209" i="21"/>
  <c r="K375" i="21"/>
  <c r="AF408" i="21"/>
  <c r="AF89" i="21"/>
  <c r="AF195" i="21"/>
  <c r="L350" i="21"/>
  <c r="G431" i="21"/>
  <c r="AF431" i="21" s="1"/>
  <c r="AF72" i="21"/>
  <c r="L156" i="21"/>
  <c r="L176" i="21"/>
  <c r="I223" i="21"/>
  <c r="K243" i="21"/>
  <c r="G393" i="21"/>
  <c r="AF388" i="21"/>
  <c r="H75" i="21"/>
  <c r="L19" i="21"/>
  <c r="AF33" i="21"/>
  <c r="L41" i="21"/>
  <c r="O314" i="21"/>
  <c r="O332" i="21" s="1"/>
  <c r="I431" i="21"/>
  <c r="L428" i="21"/>
  <c r="J75" i="21"/>
  <c r="M138" i="21"/>
  <c r="M141" i="21" s="1"/>
  <c r="AF167" i="21"/>
  <c r="L390" i="21"/>
  <c r="L410" i="21"/>
  <c r="L43" i="21"/>
  <c r="L113" i="21"/>
  <c r="J161" i="21"/>
  <c r="G201" i="21"/>
  <c r="L208" i="21"/>
  <c r="L217" i="21"/>
  <c r="F243" i="21"/>
  <c r="L338" i="21"/>
  <c r="L345" i="21"/>
  <c r="K360" i="21"/>
  <c r="H366" i="21"/>
  <c r="G381" i="21"/>
  <c r="AF381" i="21" s="1"/>
  <c r="L386" i="21"/>
  <c r="L388" i="21"/>
  <c r="AF428" i="21"/>
  <c r="L71" i="21"/>
  <c r="L106" i="21"/>
  <c r="L135" i="21"/>
  <c r="AF419" i="21"/>
  <c r="L7" i="21"/>
  <c r="AF23" i="21"/>
  <c r="L69" i="21"/>
  <c r="AF97" i="21"/>
  <c r="L116" i="21"/>
  <c r="K161" i="21"/>
  <c r="L199" i="21"/>
  <c r="L251" i="21"/>
  <c r="L262" i="21" s="1"/>
  <c r="G262" i="21"/>
  <c r="AF268" i="21"/>
  <c r="H332" i="21"/>
  <c r="M356" i="21"/>
  <c r="M360" i="21" s="1"/>
  <c r="K366" i="21"/>
  <c r="L406" i="21"/>
  <c r="H431" i="21"/>
  <c r="M427" i="21"/>
  <c r="L18" i="21"/>
  <c r="L56" i="21"/>
  <c r="I161" i="21"/>
  <c r="H25" i="21"/>
  <c r="L23" i="21"/>
  <c r="AF32" i="21"/>
  <c r="L36" i="21"/>
  <c r="M69" i="21"/>
  <c r="M75" i="21" s="1"/>
  <c r="L83" i="21"/>
  <c r="L87" i="21"/>
  <c r="AF105" i="21"/>
  <c r="L110" i="21"/>
  <c r="AF114" i="21"/>
  <c r="L126" i="21"/>
  <c r="L132" i="21"/>
  <c r="AF149" i="21"/>
  <c r="L171" i="21"/>
  <c r="L187" i="21"/>
  <c r="L193" i="21"/>
  <c r="M251" i="21"/>
  <c r="M262" i="21" s="1"/>
  <c r="AF373" i="21"/>
  <c r="AF389" i="21"/>
  <c r="G435" i="21"/>
  <c r="D435" i="21" s="1"/>
  <c r="J431" i="21"/>
  <c r="M353" i="21"/>
  <c r="L61" i="21"/>
  <c r="L103" i="21"/>
  <c r="J141" i="21"/>
  <c r="L152" i="21"/>
  <c r="H179" i="21"/>
  <c r="L209" i="21"/>
  <c r="H285" i="21"/>
  <c r="K347" i="21"/>
  <c r="J353" i="21"/>
  <c r="J360" i="21"/>
  <c r="L398" i="21"/>
  <c r="M435" i="21"/>
  <c r="L10" i="21"/>
  <c r="G47" i="21"/>
  <c r="L37" i="21"/>
  <c r="L59" i="21"/>
  <c r="L90" i="21"/>
  <c r="H94" i="21"/>
  <c r="J118" i="21"/>
  <c r="AF100" i="21"/>
  <c r="L109" i="21"/>
  <c r="K141" i="21"/>
  <c r="L134" i="21"/>
  <c r="L157" i="21"/>
  <c r="L159" i="21"/>
  <c r="AF199" i="21"/>
  <c r="L204" i="21"/>
  <c r="L313" i="21"/>
  <c r="K353" i="21"/>
  <c r="H353" i="21"/>
  <c r="AF390" i="21"/>
  <c r="I402" i="21"/>
  <c r="G413" i="21"/>
  <c r="AF413" i="21" s="1"/>
  <c r="L411" i="21"/>
  <c r="L17" i="21"/>
  <c r="H47" i="21"/>
  <c r="L99" i="21"/>
  <c r="L111" i="21"/>
  <c r="L131" i="21"/>
  <c r="L149" i="21"/>
  <c r="J179" i="21"/>
  <c r="L168" i="21"/>
  <c r="K223" i="21"/>
  <c r="M230" i="21"/>
  <c r="M243" i="21" s="1"/>
  <c r="AF306" i="21"/>
  <c r="L314" i="21"/>
  <c r="AF372" i="21"/>
  <c r="H381" i="21"/>
  <c r="AF384" i="21"/>
  <c r="L400" i="21"/>
  <c r="AF427" i="21"/>
  <c r="AF39" i="21"/>
  <c r="L53" i="21"/>
  <c r="L62" i="21"/>
  <c r="AF82" i="21"/>
  <c r="AF98" i="21"/>
  <c r="AF104" i="21"/>
  <c r="L108" i="21"/>
  <c r="L115" i="21"/>
  <c r="I141" i="21"/>
  <c r="O168" i="21"/>
  <c r="O179" i="21" s="1"/>
  <c r="AF171" i="21"/>
  <c r="G179" i="21"/>
  <c r="AF179" i="21" s="1"/>
  <c r="AF187" i="21"/>
  <c r="AF196" i="21"/>
  <c r="AF291" i="21"/>
  <c r="G340" i="21"/>
  <c r="AF340" i="21" s="1"/>
  <c r="G347" i="21"/>
  <c r="G375" i="21"/>
  <c r="AF375" i="21" s="1"/>
  <c r="L389" i="21"/>
  <c r="L391" i="21"/>
  <c r="K402" i="21"/>
  <c r="L416" i="21"/>
  <c r="H421" i="21"/>
  <c r="J66" i="21"/>
  <c r="L98" i="21"/>
  <c r="L104" i="21"/>
  <c r="M381" i="21"/>
  <c r="AF54" i="21"/>
  <c r="L13" i="21"/>
  <c r="L29" i="21"/>
  <c r="L79" i="21"/>
  <c r="AF130" i="21"/>
  <c r="AF173" i="21"/>
  <c r="L216" i="21"/>
  <c r="L291" i="21"/>
  <c r="L306" i="21" s="1"/>
  <c r="L337" i="21"/>
  <c r="L372" i="21"/>
  <c r="I393" i="21"/>
  <c r="L343" i="21"/>
  <c r="L268" i="21"/>
  <c r="L285" i="21" s="1"/>
  <c r="L31" i="21"/>
  <c r="J285" i="21"/>
  <c r="L34" i="21"/>
  <c r="D540" i="18"/>
  <c r="D441" i="18"/>
  <c r="L63" i="21"/>
  <c r="M11" i="21"/>
  <c r="J47" i="21"/>
  <c r="G118" i="21"/>
  <c r="AF118" i="21" s="1"/>
  <c r="L33" i="21"/>
  <c r="M196" i="21"/>
  <c r="M201" i="21" s="1"/>
  <c r="L196" i="21"/>
  <c r="AF42" i="21"/>
  <c r="M94" i="21"/>
  <c r="M97" i="21"/>
  <c r="H118" i="21"/>
  <c r="F223" i="21"/>
  <c r="J223" i="21"/>
  <c r="AE285" i="21"/>
  <c r="AC347" i="21"/>
  <c r="AF356" i="21"/>
  <c r="L356" i="21"/>
  <c r="G360" i="21"/>
  <c r="AF360" i="21" s="1"/>
  <c r="AF369" i="21"/>
  <c r="L369" i="21"/>
  <c r="AF7" i="21"/>
  <c r="L15" i="21"/>
  <c r="AF17" i="21"/>
  <c r="L22" i="21"/>
  <c r="AF37" i="21"/>
  <c r="F66" i="21"/>
  <c r="C334" i="21"/>
  <c r="D75" i="21"/>
  <c r="AF73" i="21"/>
  <c r="I118" i="21"/>
  <c r="I179" i="21"/>
  <c r="AD201" i="21"/>
  <c r="J201" i="21"/>
  <c r="M285" i="21"/>
  <c r="H340" i="21"/>
  <c r="M337" i="21"/>
  <c r="M340" i="21" s="1"/>
  <c r="M347" i="21"/>
  <c r="M375" i="21"/>
  <c r="L384" i="21"/>
  <c r="AF391" i="21"/>
  <c r="M115" i="21"/>
  <c r="M66" i="21"/>
  <c r="AF70" i="21"/>
  <c r="L70" i="21"/>
  <c r="AF92" i="21"/>
  <c r="L92" i="21"/>
  <c r="L136" i="21"/>
  <c r="G25" i="21"/>
  <c r="G66" i="21"/>
  <c r="AF57" i="21"/>
  <c r="L57" i="21"/>
  <c r="L82" i="21"/>
  <c r="L88" i="21"/>
  <c r="K201" i="21"/>
  <c r="AF347" i="21"/>
  <c r="M384" i="21"/>
  <c r="M393" i="21" s="1"/>
  <c r="H393" i="21"/>
  <c r="L435" i="21"/>
  <c r="F47" i="21"/>
  <c r="H66" i="21"/>
  <c r="L55" i="21"/>
  <c r="E66" i="21"/>
  <c r="E334" i="21" s="1"/>
  <c r="E438" i="21" s="1"/>
  <c r="K75" i="21"/>
  <c r="K118" i="21"/>
  <c r="AF111" i="21"/>
  <c r="AF148" i="21"/>
  <c r="K179" i="21"/>
  <c r="AF208" i="21"/>
  <c r="L407" i="21"/>
  <c r="L424" i="21"/>
  <c r="K431" i="21"/>
  <c r="G161" i="21"/>
  <c r="AF161" i="21" s="1"/>
  <c r="L148" i="21"/>
  <c r="I285" i="21"/>
  <c r="L267" i="21"/>
  <c r="AF198" i="21"/>
  <c r="C447" i="21"/>
  <c r="C443" i="21" s="1"/>
  <c r="K393" i="21"/>
  <c r="L397" i="21"/>
  <c r="H223" i="21"/>
  <c r="O209" i="21"/>
  <c r="F285" i="21"/>
  <c r="AF265" i="21"/>
  <c r="L344" i="21"/>
  <c r="H375" i="21"/>
  <c r="F118" i="21"/>
  <c r="L38" i="21"/>
  <c r="K66" i="21"/>
  <c r="L9" i="21"/>
  <c r="L50" i="21"/>
  <c r="L14" i="21"/>
  <c r="AF16" i="21"/>
  <c r="L21" i="21"/>
  <c r="L28" i="21"/>
  <c r="AF60" i="21"/>
  <c r="G94" i="21"/>
  <c r="AF133" i="21"/>
  <c r="L175" i="21"/>
  <c r="F262" i="21"/>
  <c r="AF281" i="21"/>
  <c r="K306" i="21"/>
  <c r="O297" i="21"/>
  <c r="O306" i="21" s="1"/>
  <c r="AD332" i="21"/>
  <c r="D433" i="21"/>
  <c r="M366" i="21"/>
  <c r="L370" i="21"/>
  <c r="L385" i="21"/>
  <c r="AF393" i="21"/>
  <c r="M18" i="21"/>
  <c r="K47" i="21"/>
  <c r="M28" i="21"/>
  <c r="M47" i="21" s="1"/>
  <c r="L35" i="21"/>
  <c r="L40" i="21"/>
  <c r="L60" i="21"/>
  <c r="G75" i="21"/>
  <c r="L133" i="21"/>
  <c r="F141" i="21"/>
  <c r="O161" i="21"/>
  <c r="M151" i="21"/>
  <c r="AA334" i="21"/>
  <c r="AD243" i="21"/>
  <c r="AF351" i="21"/>
  <c r="L357" i="21"/>
  <c r="AF44" i="21"/>
  <c r="L44" i="21"/>
  <c r="L86" i="21"/>
  <c r="G141" i="21"/>
  <c r="L125" i="21"/>
  <c r="L230" i="21"/>
  <c r="G243" i="21"/>
  <c r="AF28" i="21"/>
  <c r="AF52" i="21"/>
  <c r="L52" i="21"/>
  <c r="L58" i="21"/>
  <c r="H141" i="21"/>
  <c r="F201" i="21"/>
  <c r="AB334" i="21"/>
  <c r="G223" i="21"/>
  <c r="AF223" i="21" s="1"/>
  <c r="H347" i="21"/>
  <c r="G353" i="21"/>
  <c r="AF353" i="21" s="1"/>
  <c r="L351" i="21"/>
  <c r="G366" i="21"/>
  <c r="AF366" i="21" s="1"/>
  <c r="AF364" i="21"/>
  <c r="L364" i="21"/>
  <c r="AD402" i="21"/>
  <c r="H413" i="21"/>
  <c r="M413" i="21"/>
  <c r="AC433" i="21"/>
  <c r="F94" i="21"/>
  <c r="AF78" i="21"/>
  <c r="G285" i="21"/>
  <c r="L265" i="21"/>
  <c r="AF90" i="21"/>
  <c r="L97" i="21"/>
  <c r="L112" i="21"/>
  <c r="AF152" i="21"/>
  <c r="H201" i="21"/>
  <c r="L195" i="21"/>
  <c r="AC334" i="21"/>
  <c r="L379" i="21"/>
  <c r="L381" i="21" s="1"/>
  <c r="F393" i="21"/>
  <c r="F433" i="21" s="1"/>
  <c r="L426" i="21"/>
  <c r="C594" i="21"/>
  <c r="L84" i="21"/>
  <c r="AF166" i="21"/>
  <c r="K262" i="21"/>
  <c r="AF379" i="21"/>
  <c r="G332" i="21"/>
  <c r="AF332" i="21" s="1"/>
  <c r="L409" i="21"/>
  <c r="M426" i="21"/>
  <c r="M431" i="21" s="1"/>
  <c r="M148" i="21"/>
  <c r="AF112" i="21"/>
  <c r="O219" i="21"/>
  <c r="K413" i="21"/>
  <c r="AF426" i="21"/>
  <c r="I201" i="21"/>
  <c r="L85" i="21"/>
  <c r="L241" i="21"/>
  <c r="L363" i="21"/>
  <c r="F65" i="18"/>
  <c r="I16" i="18"/>
  <c r="H15" i="18"/>
  <c r="F14" i="18"/>
  <c r="M102" i="18"/>
  <c r="L102" i="18"/>
  <c r="K102" i="18"/>
  <c r="J102" i="18"/>
  <c r="I102" i="18"/>
  <c r="H102" i="18"/>
  <c r="G102" i="18"/>
  <c r="F102" i="18"/>
  <c r="E102" i="18"/>
  <c r="D102" i="18"/>
  <c r="C102" i="18"/>
  <c r="B102" i="18"/>
  <c r="N102" i="18" s="1"/>
  <c r="K89" i="18"/>
  <c r="I87" i="18"/>
  <c r="I433" i="21" l="1"/>
  <c r="L421" i="21"/>
  <c r="M168" i="21"/>
  <c r="M179" i="21" s="1"/>
  <c r="J334" i="21"/>
  <c r="L332" i="21"/>
  <c r="L161" i="21"/>
  <c r="AF243" i="21"/>
  <c r="O223" i="21"/>
  <c r="O334" i="21" s="1"/>
  <c r="O438" i="21" s="1"/>
  <c r="O441" i="21" s="1"/>
  <c r="L340" i="21"/>
  <c r="AF94" i="21"/>
  <c r="L66" i="21"/>
  <c r="L353" i="21"/>
  <c r="L179" i="21"/>
  <c r="L347" i="21"/>
  <c r="J433" i="21"/>
  <c r="L360" i="21"/>
  <c r="AF75" i="21"/>
  <c r="L201" i="21"/>
  <c r="M433" i="21"/>
  <c r="AF285" i="21"/>
  <c r="L94" i="21"/>
  <c r="M209" i="21"/>
  <c r="M223" i="21" s="1"/>
  <c r="L25" i="21"/>
  <c r="L243" i="21"/>
  <c r="AF262" i="21"/>
  <c r="L402" i="21"/>
  <c r="L413" i="21"/>
  <c r="L141" i="21"/>
  <c r="H433" i="21"/>
  <c r="M25" i="21"/>
  <c r="K433" i="21"/>
  <c r="AF201" i="21"/>
  <c r="L75" i="21"/>
  <c r="L375" i="21"/>
  <c r="L223" i="21"/>
  <c r="I334" i="21"/>
  <c r="I438" i="21" s="1"/>
  <c r="G334" i="21"/>
  <c r="D545" i="18"/>
  <c r="AA375" i="21"/>
  <c r="AA366" i="21"/>
  <c r="AA353" i="21"/>
  <c r="AA381" i="21"/>
  <c r="AA438" i="21"/>
  <c r="AA360" i="21"/>
  <c r="L47" i="21"/>
  <c r="G433" i="21"/>
  <c r="AF433" i="21" s="1"/>
  <c r="D334" i="21"/>
  <c r="D438" i="21" s="1"/>
  <c r="L366" i="21"/>
  <c r="AC375" i="21"/>
  <c r="AC381" i="21"/>
  <c r="AC438" i="21"/>
  <c r="AC360" i="21"/>
  <c r="AC366" i="21"/>
  <c r="AC353" i="21"/>
  <c r="H334" i="21"/>
  <c r="L431" i="21"/>
  <c r="L393" i="21"/>
  <c r="M118" i="21"/>
  <c r="AF66" i="21"/>
  <c r="C438" i="21"/>
  <c r="AB366" i="21"/>
  <c r="AB353" i="21"/>
  <c r="AB381" i="21"/>
  <c r="AB438" i="21"/>
  <c r="AB375" i="21"/>
  <c r="AB360" i="21"/>
  <c r="AF141" i="21"/>
  <c r="F334" i="21"/>
  <c r="F438" i="21" s="1"/>
  <c r="L118" i="21"/>
  <c r="AC340" i="21"/>
  <c r="K334" i="21"/>
  <c r="M161" i="21"/>
  <c r="AD334" i="21"/>
  <c r="AD340" i="21" s="1"/>
  <c r="AE340" i="21"/>
  <c r="AE347" i="21" s="1"/>
  <c r="BV9" i="13"/>
  <c r="BW9" i="13" s="1"/>
  <c r="BQ9" i="13"/>
  <c r="BR9" i="13" s="1"/>
  <c r="BL9" i="13"/>
  <c r="BM9" i="13" s="1"/>
  <c r="BG9" i="13"/>
  <c r="BH9" i="13" s="1"/>
  <c r="BB9" i="13"/>
  <c r="BC9" i="13" s="1"/>
  <c r="AW9" i="13"/>
  <c r="AX9" i="13" s="1"/>
  <c r="AR9" i="13"/>
  <c r="AS9" i="13" s="1"/>
  <c r="AM9" i="13"/>
  <c r="AN9" i="13" s="1"/>
  <c r="AH9" i="13"/>
  <c r="AI9" i="13" s="1"/>
  <c r="AC9" i="13"/>
  <c r="AD9" i="13" s="1"/>
  <c r="X9" i="13"/>
  <c r="Y9" i="13" s="1"/>
  <c r="S9" i="13"/>
  <c r="T9" i="13" s="1"/>
  <c r="N9" i="13"/>
  <c r="O9" i="13" s="1"/>
  <c r="J6" i="13"/>
  <c r="BB9" i="20"/>
  <c r="BC9" i="20" s="1"/>
  <c r="AS9" i="20"/>
  <c r="AM9" i="20"/>
  <c r="AN9" i="20" s="1"/>
  <c r="AD9" i="20"/>
  <c r="Y9" i="20"/>
  <c r="BM9" i="20"/>
  <c r="T9" i="20"/>
  <c r="O9" i="20"/>
  <c r="AH7" i="15"/>
  <c r="D48" i="20"/>
  <c r="C48" i="20"/>
  <c r="E46" i="20"/>
  <c r="E45" i="20"/>
  <c r="E44" i="20"/>
  <c r="E43" i="20"/>
  <c r="E42" i="20"/>
  <c r="E41" i="20"/>
  <c r="E40" i="20"/>
  <c r="E39" i="20"/>
  <c r="E38" i="20"/>
  <c r="E37" i="20"/>
  <c r="E36" i="20"/>
  <c r="E35" i="20"/>
  <c r="E34" i="20"/>
  <c r="E33" i="20"/>
  <c r="E32" i="20"/>
  <c r="E31" i="20"/>
  <c r="E30" i="20"/>
  <c r="E29" i="20"/>
  <c r="E28" i="20"/>
  <c r="E27" i="20"/>
  <c r="E26" i="20"/>
  <c r="E25" i="20"/>
  <c r="E24" i="20"/>
  <c r="E23" i="20"/>
  <c r="E22" i="20"/>
  <c r="E21" i="20"/>
  <c r="E20" i="20"/>
  <c r="E19" i="20"/>
  <c r="E18" i="20"/>
  <c r="E17" i="20"/>
  <c r="E16" i="20"/>
  <c r="E15" i="20"/>
  <c r="E14" i="20"/>
  <c r="E13" i="20"/>
  <c r="E12" i="20"/>
  <c r="E11" i="20"/>
  <c r="E10" i="20"/>
  <c r="E9" i="20"/>
  <c r="J10" i="20"/>
  <c r="BK48" i="20"/>
  <c r="BF48" i="20"/>
  <c r="BA48" i="20"/>
  <c r="AV48" i="20"/>
  <c r="AQ48" i="20"/>
  <c r="AL48" i="20"/>
  <c r="AG48" i="20"/>
  <c r="AB48" i="20"/>
  <c r="W48" i="20"/>
  <c r="R48" i="20"/>
  <c r="N9" i="14"/>
  <c r="I9" i="14" s="1"/>
  <c r="I48" i="14" s="1"/>
  <c r="BG10" i="15"/>
  <c r="CF10" i="15"/>
  <c r="AM10" i="15"/>
  <c r="CA10" i="15"/>
  <c r="AC10" i="15"/>
  <c r="R58" i="17"/>
  <c r="N70" i="18"/>
  <c r="E77" i="18"/>
  <c r="P72" i="18"/>
  <c r="P71" i="18"/>
  <c r="P73" i="18"/>
  <c r="H66" i="18"/>
  <c r="I55" i="18"/>
  <c r="N58" i="18"/>
  <c r="I54" i="18"/>
  <c r="H53" i="18"/>
  <c r="H52" i="18"/>
  <c r="E47" i="18"/>
  <c r="F61" i="18"/>
  <c r="L7" i="18"/>
  <c r="Q7" i="18"/>
  <c r="P7" i="18"/>
  <c r="O7" i="18"/>
  <c r="N7" i="18"/>
  <c r="M7" i="18"/>
  <c r="K7" i="18"/>
  <c r="J7" i="18"/>
  <c r="I7" i="18"/>
  <c r="H7" i="18"/>
  <c r="F7" i="18"/>
  <c r="E7" i="18"/>
  <c r="Q44" i="18"/>
  <c r="Q9" i="18" s="1"/>
  <c r="P43" i="18"/>
  <c r="O9" i="18"/>
  <c r="M38" i="18"/>
  <c r="M9" i="18" s="1"/>
  <c r="L9" i="18"/>
  <c r="K9" i="18"/>
  <c r="J9" i="18"/>
  <c r="D27" i="18"/>
  <c r="D26" i="18"/>
  <c r="D25" i="18"/>
  <c r="D24" i="18"/>
  <c r="D23" i="18"/>
  <c r="D22" i="18"/>
  <c r="D21" i="18"/>
  <c r="D20" i="18"/>
  <c r="D19" i="18"/>
  <c r="D18" i="18"/>
  <c r="D17" i="18"/>
  <c r="D16" i="18"/>
  <c r="D15" i="18"/>
  <c r="D14" i="18"/>
  <c r="D13" i="18"/>
  <c r="AH48" i="20" l="1"/>
  <c r="I9" i="20"/>
  <c r="AG10" i="15" s="1"/>
  <c r="S48" i="20"/>
  <c r="AC48" i="20"/>
  <c r="AR48" i="20"/>
  <c r="H48" i="20"/>
  <c r="AI9" i="20"/>
  <c r="O9" i="14"/>
  <c r="BL10" i="15"/>
  <c r="BK69" i="15"/>
  <c r="BQ10" i="15"/>
  <c r="BP69" i="15"/>
  <c r="BV10" i="15"/>
  <c r="BU69" i="15"/>
  <c r="M48" i="20"/>
  <c r="N48" i="20"/>
  <c r="AM48" i="20"/>
  <c r="AN48" i="20"/>
  <c r="BG48" i="20"/>
  <c r="X48" i="20"/>
  <c r="AW48" i="20"/>
  <c r="BL48" i="20"/>
  <c r="X10" i="15"/>
  <c r="J438" i="21"/>
  <c r="K438" i="21"/>
  <c r="L433" i="21"/>
  <c r="AF334" i="21"/>
  <c r="M334" i="21"/>
  <c r="M438" i="21" s="1"/>
  <c r="L334" i="21"/>
  <c r="BB48" i="20"/>
  <c r="AX9" i="20"/>
  <c r="C445" i="21"/>
  <c r="C441" i="21" s="1"/>
  <c r="H438" i="21"/>
  <c r="AD366" i="21"/>
  <c r="AD353" i="21"/>
  <c r="AD381" i="21"/>
  <c r="AD438" i="21"/>
  <c r="AD360" i="21"/>
  <c r="AD375" i="21"/>
  <c r="AD347" i="21"/>
  <c r="G438" i="21"/>
  <c r="AF438" i="21" s="1"/>
  <c r="I9" i="13"/>
  <c r="R10" i="15" s="1"/>
  <c r="S10" i="15" s="1"/>
  <c r="BH9" i="20"/>
  <c r="BH48" i="20" s="1"/>
  <c r="E48" i="20"/>
  <c r="BC48" i="20"/>
  <c r="AS48" i="20"/>
  <c r="T48" i="20"/>
  <c r="BM48" i="20"/>
  <c r="Y48" i="20"/>
  <c r="O48" i="20"/>
  <c r="E9" i="18"/>
  <c r="F9" i="18"/>
  <c r="I9" i="18"/>
  <c r="N9" i="18"/>
  <c r="P9" i="18"/>
  <c r="H9" i="18"/>
  <c r="J9" i="20" l="1"/>
  <c r="AI48" i="20"/>
  <c r="AD48" i="20"/>
  <c r="AG69" i="15"/>
  <c r="L438" i="21"/>
  <c r="C584" i="21" s="1"/>
  <c r="C587" i="21" s="1"/>
  <c r="I48" i="20"/>
  <c r="AX48" i="20"/>
  <c r="AH10" i="15"/>
  <c r="J9" i="14"/>
  <c r="C446" i="21"/>
  <c r="C442" i="21" s="1"/>
  <c r="C440" i="21" s="1"/>
  <c r="F599" i="21" s="1"/>
  <c r="AF439" i="21"/>
  <c r="D30" i="18"/>
  <c r="D77" i="18"/>
  <c r="D73" i="18"/>
  <c r="D72" i="18"/>
  <c r="D71" i="18"/>
  <c r="D70" i="18"/>
  <c r="D69" i="18"/>
  <c r="D68" i="18"/>
  <c r="D67" i="18"/>
  <c r="D66" i="18"/>
  <c r="D65" i="18"/>
  <c r="D64" i="18"/>
  <c r="D63" i="18"/>
  <c r="D58" i="18"/>
  <c r="D57" i="18"/>
  <c r="D56" i="18"/>
  <c r="D55" i="18"/>
  <c r="D54" i="18"/>
  <c r="D53" i="18"/>
  <c r="D52" i="18"/>
  <c r="D51" i="18"/>
  <c r="D50" i="18"/>
  <c r="D49" i="18"/>
  <c r="D48" i="18"/>
  <c r="D47" i="18"/>
  <c r="D61" i="18"/>
  <c r="D44" i="18"/>
  <c r="D43" i="18"/>
  <c r="D42" i="18"/>
  <c r="D41" i="18"/>
  <c r="D40" i="18"/>
  <c r="D39" i="18"/>
  <c r="D38" i="18"/>
  <c r="D37" i="18"/>
  <c r="D36" i="18"/>
  <c r="D35" i="18"/>
  <c r="D34" i="18"/>
  <c r="D33" i="18"/>
  <c r="Q5" i="18"/>
  <c r="P5" i="18"/>
  <c r="M5" i="18"/>
  <c r="L5" i="18"/>
  <c r="K5" i="18"/>
  <c r="J5" i="18"/>
  <c r="I5" i="18"/>
  <c r="G5" i="18"/>
  <c r="E59" i="17"/>
  <c r="P26" i="17"/>
  <c r="O24" i="17"/>
  <c r="L19" i="17"/>
  <c r="I16" i="17"/>
  <c r="H15" i="17"/>
  <c r="F14" i="17"/>
  <c r="N23" i="17"/>
  <c r="M21" i="17"/>
  <c r="H6" i="13"/>
  <c r="I6" i="13"/>
  <c r="J48" i="20" l="1"/>
  <c r="BA69" i="15"/>
  <c r="E11" i="18"/>
  <c r="N5" i="18"/>
  <c r="F5" i="18"/>
  <c r="O5" i="18"/>
  <c r="D76" i="18"/>
  <c r="E60" i="17"/>
  <c r="D60" i="17" s="1"/>
  <c r="D14" i="17"/>
  <c r="D23" i="17"/>
  <c r="P7" i="17"/>
  <c r="P5" i="17" s="1"/>
  <c r="L7" i="17"/>
  <c r="L5" i="17" s="1"/>
  <c r="Q27" i="17"/>
  <c r="Q7" i="17" s="1"/>
  <c r="Q5" i="17" s="1"/>
  <c r="D15" i="17"/>
  <c r="D24" i="17"/>
  <c r="D16" i="17"/>
  <c r="M7" i="17"/>
  <c r="M5" i="17" s="1"/>
  <c r="E13" i="17"/>
  <c r="D13" i="17" s="1"/>
  <c r="D59" i="17"/>
  <c r="D57" i="17"/>
  <c r="D56" i="17"/>
  <c r="D55" i="17"/>
  <c r="D54" i="17"/>
  <c r="D53" i="17"/>
  <c r="D52" i="17"/>
  <c r="D51" i="17"/>
  <c r="D50" i="17"/>
  <c r="D49" i="17"/>
  <c r="D48" i="17"/>
  <c r="D47" i="17"/>
  <c r="D46" i="17"/>
  <c r="D45" i="17"/>
  <c r="D44" i="17"/>
  <c r="D43" i="17"/>
  <c r="D42" i="17"/>
  <c r="D41" i="17"/>
  <c r="D40" i="17"/>
  <c r="D39" i="17"/>
  <c r="D38" i="17"/>
  <c r="D37" i="17"/>
  <c r="D36" i="17"/>
  <c r="D35" i="17"/>
  <c r="D33" i="17"/>
  <c r="D32" i="17"/>
  <c r="D31" i="17"/>
  <c r="D29" i="17"/>
  <c r="D25" i="17"/>
  <c r="D22" i="17"/>
  <c r="D20" i="17"/>
  <c r="D18" i="17"/>
  <c r="D17" i="17"/>
  <c r="P9" i="17"/>
  <c r="N9" i="17"/>
  <c r="K9" i="17"/>
  <c r="I9" i="17"/>
  <c r="H9" i="17"/>
  <c r="F9" i="17"/>
  <c r="E9" i="17"/>
  <c r="K7" i="17"/>
  <c r="J7" i="17"/>
  <c r="J5" i="17" s="1"/>
  <c r="E7" i="17"/>
  <c r="G5" i="17"/>
  <c r="CJ69" i="15"/>
  <c r="CI69" i="15"/>
  <c r="BY69" i="15"/>
  <c r="AZ69" i="15"/>
  <c r="CK69" i="15"/>
  <c r="CA69" i="15" l="1"/>
  <c r="BB69" i="15"/>
  <c r="BZ69" i="15"/>
  <c r="D31" i="18"/>
  <c r="H5" i="18"/>
  <c r="D32" i="18"/>
  <c r="E5" i="18"/>
  <c r="R78" i="18"/>
  <c r="K5" i="17"/>
  <c r="R61" i="17"/>
  <c r="D61" i="17"/>
  <c r="R11" i="17"/>
  <c r="I7" i="17"/>
  <c r="I5" i="17" s="1"/>
  <c r="H7" i="17"/>
  <c r="H5" i="17" s="1"/>
  <c r="F7" i="17"/>
  <c r="F5" i="17" s="1"/>
  <c r="D26" i="17"/>
  <c r="D19" i="17"/>
  <c r="N7" i="17"/>
  <c r="N5" i="17" s="1"/>
  <c r="D21" i="17"/>
  <c r="S25" i="17" s="1"/>
  <c r="S20" i="17"/>
  <c r="O7" i="17"/>
  <c r="O5" i="17" s="1"/>
  <c r="E11" i="17"/>
  <c r="D11" i="17" s="1"/>
  <c r="S59" i="17" s="1"/>
  <c r="N34" i="16"/>
  <c r="E21" i="16"/>
  <c r="C28" i="16"/>
  <c r="E22" i="16" s="1"/>
  <c r="E9" i="16"/>
  <c r="E8" i="16"/>
  <c r="AU69" i="15"/>
  <c r="AP69" i="15"/>
  <c r="AF69" i="15"/>
  <c r="R69" i="15"/>
  <c r="Q69" i="15"/>
  <c r="I71" i="15" s="1"/>
  <c r="J69" i="15"/>
  <c r="I69" i="15"/>
  <c r="G69" i="15"/>
  <c r="F69" i="15"/>
  <c r="D69" i="15"/>
  <c r="C69" i="15"/>
  <c r="M67" i="15"/>
  <c r="L67" i="15"/>
  <c r="M66" i="15"/>
  <c r="N66" i="15" s="1"/>
  <c r="M65" i="15"/>
  <c r="L65" i="15"/>
  <c r="N64" i="15"/>
  <c r="M63" i="15"/>
  <c r="L63" i="15"/>
  <c r="M62" i="15"/>
  <c r="N62" i="15" s="1"/>
  <c r="M61" i="15"/>
  <c r="L61" i="15"/>
  <c r="M60" i="15"/>
  <c r="N60" i="15" s="1"/>
  <c r="M59" i="15"/>
  <c r="L59" i="15"/>
  <c r="M58" i="15"/>
  <c r="N58" i="15" s="1"/>
  <c r="M57" i="15"/>
  <c r="L57" i="15"/>
  <c r="M56" i="15"/>
  <c r="N56" i="15" s="1"/>
  <c r="M55" i="15"/>
  <c r="L55" i="15"/>
  <c r="M54" i="15"/>
  <c r="N54" i="15" s="1"/>
  <c r="M53" i="15"/>
  <c r="L53" i="15"/>
  <c r="M52" i="15"/>
  <c r="N52" i="15" s="1"/>
  <c r="M51" i="15"/>
  <c r="L51" i="15"/>
  <c r="M50" i="15"/>
  <c r="N50" i="15" s="1"/>
  <c r="M49" i="15"/>
  <c r="L49" i="15"/>
  <c r="M48" i="15"/>
  <c r="N48" i="15" s="1"/>
  <c r="M47" i="15"/>
  <c r="L47" i="15"/>
  <c r="M46" i="15"/>
  <c r="N46" i="15" s="1"/>
  <c r="M45" i="15"/>
  <c r="L45" i="15"/>
  <c r="M44" i="15"/>
  <c r="N44" i="15" s="1"/>
  <c r="M43" i="15"/>
  <c r="L43" i="15"/>
  <c r="M42" i="15"/>
  <c r="N42" i="15" s="1"/>
  <c r="M41" i="15"/>
  <c r="L41" i="15"/>
  <c r="M40" i="15"/>
  <c r="N40" i="15" s="1"/>
  <c r="M39" i="15"/>
  <c r="L39" i="15"/>
  <c r="M38" i="15"/>
  <c r="N38" i="15" s="1"/>
  <c r="M37" i="15"/>
  <c r="L37" i="15"/>
  <c r="M36" i="15"/>
  <c r="N36" i="15" s="1"/>
  <c r="M35" i="15"/>
  <c r="L35" i="15"/>
  <c r="M34" i="15"/>
  <c r="N34" i="15" s="1"/>
  <c r="M33" i="15"/>
  <c r="L33" i="15"/>
  <c r="M32" i="15"/>
  <c r="N32" i="15" s="1"/>
  <c r="M31" i="15"/>
  <c r="L31" i="15"/>
  <c r="M30" i="15"/>
  <c r="N30" i="15" s="1"/>
  <c r="M29" i="15"/>
  <c r="L29" i="15"/>
  <c r="M28" i="15"/>
  <c r="N28" i="15" s="1"/>
  <c r="M27" i="15"/>
  <c r="L27" i="15"/>
  <c r="M26" i="15"/>
  <c r="N26" i="15" s="1"/>
  <c r="M25" i="15"/>
  <c r="L25" i="15"/>
  <c r="M24" i="15"/>
  <c r="N24" i="15" s="1"/>
  <c r="M23" i="15"/>
  <c r="L23" i="15"/>
  <c r="M22" i="15"/>
  <c r="N22" i="15" s="1"/>
  <c r="M21" i="15"/>
  <c r="L21" i="15"/>
  <c r="M20" i="15"/>
  <c r="N20" i="15" s="1"/>
  <c r="M19" i="15"/>
  <c r="L19" i="15"/>
  <c r="M18" i="15"/>
  <c r="N18" i="15" s="1"/>
  <c r="M17" i="15"/>
  <c r="L17" i="15"/>
  <c r="M16" i="15"/>
  <c r="N16" i="15" s="1"/>
  <c r="M15" i="15"/>
  <c r="L15" i="15"/>
  <c r="M14" i="15"/>
  <c r="N14" i="15" s="1"/>
  <c r="M13" i="15"/>
  <c r="L13" i="15"/>
  <c r="M12" i="15"/>
  <c r="N12" i="15" s="1"/>
  <c r="M11" i="15"/>
  <c r="L11" i="15"/>
  <c r="M10" i="15"/>
  <c r="N10" i="15" s="1"/>
  <c r="BT69" i="15"/>
  <c r="BJ69" i="15"/>
  <c r="BE69" i="15"/>
  <c r="D48" i="14"/>
  <c r="C48" i="14"/>
  <c r="E46" i="14"/>
  <c r="E45" i="14"/>
  <c r="E44" i="14"/>
  <c r="E43" i="14"/>
  <c r="E42" i="14"/>
  <c r="E41" i="14"/>
  <c r="E40" i="14"/>
  <c r="E39" i="14"/>
  <c r="E38" i="14"/>
  <c r="E37" i="14"/>
  <c r="E36" i="14"/>
  <c r="E35" i="14"/>
  <c r="E34" i="14"/>
  <c r="E33" i="14"/>
  <c r="E32" i="14"/>
  <c r="E31" i="14"/>
  <c r="E30" i="14"/>
  <c r="E29" i="14"/>
  <c r="E28" i="14"/>
  <c r="E27" i="14"/>
  <c r="E26" i="14"/>
  <c r="E25" i="14"/>
  <c r="E24" i="14"/>
  <c r="E23" i="14"/>
  <c r="E22" i="14"/>
  <c r="E21" i="14"/>
  <c r="E20" i="14"/>
  <c r="E19" i="14"/>
  <c r="E18" i="14"/>
  <c r="E17" i="14"/>
  <c r="E16" i="14"/>
  <c r="E15" i="14"/>
  <c r="E14" i="14"/>
  <c r="E13" i="14"/>
  <c r="E12" i="14"/>
  <c r="E11" i="14"/>
  <c r="AI10" i="14"/>
  <c r="AD10" i="14"/>
  <c r="Y10" i="14"/>
  <c r="T10" i="14"/>
  <c r="O10" i="14"/>
  <c r="E10" i="14"/>
  <c r="AI9" i="14"/>
  <c r="AD9" i="14"/>
  <c r="Y9" i="14"/>
  <c r="T9" i="14"/>
  <c r="E9" i="14"/>
  <c r="AG48" i="14"/>
  <c r="R48" i="14"/>
  <c r="M48" i="14"/>
  <c r="AC48" i="14"/>
  <c r="X48" i="14"/>
  <c r="S48" i="14"/>
  <c r="H28" i="13"/>
  <c r="D28" i="13"/>
  <c r="C28" i="13"/>
  <c r="E26" i="13"/>
  <c r="E25" i="13"/>
  <c r="E24" i="13"/>
  <c r="E23" i="13"/>
  <c r="E22" i="13"/>
  <c r="E21" i="13"/>
  <c r="E20" i="13"/>
  <c r="E19" i="13"/>
  <c r="E18" i="13"/>
  <c r="E17" i="13"/>
  <c r="E16" i="13"/>
  <c r="E15" i="13"/>
  <c r="E14" i="13"/>
  <c r="E13" i="13"/>
  <c r="E12" i="13"/>
  <c r="E11" i="13"/>
  <c r="E10" i="13"/>
  <c r="J9" i="13"/>
  <c r="E9" i="13"/>
  <c r="BK28" i="13"/>
  <c r="F9" i="12"/>
  <c r="F14" i="12"/>
  <c r="D29" i="12"/>
  <c r="AL69" i="15" l="1"/>
  <c r="G71" i="15" s="1"/>
  <c r="D78" i="18"/>
  <c r="R11" i="18"/>
  <c r="S61" i="17"/>
  <c r="S60" i="17"/>
  <c r="E5" i="17"/>
  <c r="D58" i="17"/>
  <c r="R9" i="17"/>
  <c r="D9" i="17" s="1"/>
  <c r="N61" i="15"/>
  <c r="N35" i="15"/>
  <c r="N45" i="15"/>
  <c r="N33" i="15"/>
  <c r="N25" i="15"/>
  <c r="N43" i="15"/>
  <c r="N21" i="15"/>
  <c r="BV69" i="15"/>
  <c r="N17" i="15"/>
  <c r="N13" i="15"/>
  <c r="N41" i="15"/>
  <c r="N19" i="15"/>
  <c r="N23" i="15"/>
  <c r="CE69" i="15"/>
  <c r="N31" i="15"/>
  <c r="N63" i="15"/>
  <c r="N27" i="15"/>
  <c r="N49" i="15"/>
  <c r="N51" i="15"/>
  <c r="N53" i="15"/>
  <c r="N55" i="15"/>
  <c r="N57" i="15"/>
  <c r="L69" i="15"/>
  <c r="AA69" i="15"/>
  <c r="AH69" i="15"/>
  <c r="BL69" i="15"/>
  <c r="AR69" i="15"/>
  <c r="N29" i="15"/>
  <c r="N47" i="15"/>
  <c r="BB28" i="13"/>
  <c r="N11" i="15"/>
  <c r="N15" i="15"/>
  <c r="BQ28" i="13"/>
  <c r="N37" i="15"/>
  <c r="AC28" i="13"/>
  <c r="BP28" i="13"/>
  <c r="AQ28" i="13"/>
  <c r="N28" i="13"/>
  <c r="BR28" i="13"/>
  <c r="N39" i="15"/>
  <c r="N59" i="15"/>
  <c r="AV28" i="13"/>
  <c r="BV28" i="13"/>
  <c r="S69" i="15"/>
  <c r="V69" i="15"/>
  <c r="N65" i="15"/>
  <c r="M69" i="15"/>
  <c r="E28" i="13"/>
  <c r="W69" i="15"/>
  <c r="N67" i="15"/>
  <c r="W28" i="13"/>
  <c r="BF69" i="15"/>
  <c r="BQ69" i="15"/>
  <c r="AB69" i="15"/>
  <c r="AW69" i="15"/>
  <c r="CF69" i="15"/>
  <c r="BO69" i="15"/>
  <c r="AH48" i="14"/>
  <c r="E48" i="14"/>
  <c r="Y48" i="14"/>
  <c r="N48" i="14"/>
  <c r="AD48" i="14"/>
  <c r="O48" i="14"/>
  <c r="AB48" i="14"/>
  <c r="AI48" i="14"/>
  <c r="BL28" i="13"/>
  <c r="BG28" i="13"/>
  <c r="BA28" i="13"/>
  <c r="R28" i="13"/>
  <c r="T28" i="13"/>
  <c r="X28" i="13"/>
  <c r="AW28" i="13"/>
  <c r="AR28" i="13"/>
  <c r="S28" i="13"/>
  <c r="BF28" i="13"/>
  <c r="M28" i="13"/>
  <c r="AB28" i="13"/>
  <c r="BU28" i="13"/>
  <c r="AL28" i="13"/>
  <c r="AN28" i="13"/>
  <c r="Y28" i="13"/>
  <c r="AM28" i="13"/>
  <c r="C71" i="15" l="1"/>
  <c r="D71" i="15"/>
  <c r="R9" i="18"/>
  <c r="D9" i="18" s="1"/>
  <c r="S78" i="18"/>
  <c r="S77" i="18"/>
  <c r="S76" i="18"/>
  <c r="BW28" i="13"/>
  <c r="AX28" i="13"/>
  <c r="S11" i="17"/>
  <c r="S58" i="17"/>
  <c r="S42" i="17"/>
  <c r="S41" i="17"/>
  <c r="S36" i="17"/>
  <c r="S52" i="17"/>
  <c r="S40" i="17"/>
  <c r="S29" i="17"/>
  <c r="S39" i="17"/>
  <c r="S35" i="17"/>
  <c r="S51" i="17"/>
  <c r="S49" i="17"/>
  <c r="S55" i="17"/>
  <c r="S54" i="17"/>
  <c r="S57" i="17"/>
  <c r="S32" i="17"/>
  <c r="S46" i="17"/>
  <c r="S45" i="17"/>
  <c r="S53" i="17"/>
  <c r="S50" i="17"/>
  <c r="S43" i="17"/>
  <c r="S44" i="17"/>
  <c r="S31" i="17"/>
  <c r="S56" i="17"/>
  <c r="S38" i="17"/>
  <c r="S33" i="17"/>
  <c r="S47" i="17"/>
  <c r="S48" i="17"/>
  <c r="S37" i="17"/>
  <c r="X69" i="15"/>
  <c r="N69" i="15"/>
  <c r="AD28" i="13"/>
  <c r="AI28" i="13"/>
  <c r="O28" i="13"/>
  <c r="AG28" i="13"/>
  <c r="AC69" i="15"/>
  <c r="AS28" i="13"/>
  <c r="AK69" i="15"/>
  <c r="F71" i="15" s="1"/>
  <c r="BG69" i="15"/>
  <c r="J48" i="14"/>
  <c r="T48" i="14"/>
  <c r="BH28" i="13"/>
  <c r="AH28" i="13"/>
  <c r="BC28" i="13"/>
  <c r="BM28" i="13"/>
  <c r="J28" i="13"/>
  <c r="I28" i="13"/>
  <c r="S74" i="18" l="1"/>
  <c r="S30" i="18"/>
  <c r="S41" i="18"/>
  <c r="S37" i="18"/>
  <c r="S40" i="18"/>
  <c r="S38" i="18"/>
  <c r="S42" i="18"/>
  <c r="S39" i="18"/>
  <c r="S43" i="18"/>
  <c r="S44" i="18"/>
  <c r="S33" i="18"/>
  <c r="S61" i="18"/>
  <c r="S34" i="18"/>
  <c r="S35" i="18"/>
  <c r="S36" i="18"/>
  <c r="S31" i="18"/>
  <c r="S32" i="18"/>
  <c r="S66" i="18"/>
  <c r="S64" i="18"/>
  <c r="S71" i="18"/>
  <c r="S51" i="18"/>
  <c r="S54" i="18"/>
  <c r="S57" i="18"/>
  <c r="S69" i="18"/>
  <c r="S68" i="18"/>
  <c r="S48" i="18"/>
  <c r="S56" i="18"/>
  <c r="S49" i="18"/>
  <c r="S53" i="18"/>
  <c r="S72" i="18"/>
  <c r="S47" i="18"/>
  <c r="S65" i="18"/>
  <c r="S67" i="18"/>
  <c r="S73" i="18"/>
  <c r="S58" i="18"/>
  <c r="S52" i="18"/>
  <c r="S55" i="18"/>
  <c r="S70" i="18"/>
  <c r="S63" i="18"/>
  <c r="S50" i="18"/>
  <c r="S11" i="18"/>
  <c r="T46" i="17"/>
  <c r="S9" i="17"/>
  <c r="AM69" i="15"/>
  <c r="S9" i="18" l="1"/>
  <c r="T58" i="18"/>
  <c r="D61" i="12"/>
  <c r="E60" i="12"/>
  <c r="D60" i="12" s="1"/>
  <c r="E59" i="12"/>
  <c r="D59" i="12" s="1"/>
  <c r="D57" i="12"/>
  <c r="D56" i="12"/>
  <c r="D55" i="12"/>
  <c r="D54" i="12"/>
  <c r="D53" i="12"/>
  <c r="D52" i="12"/>
  <c r="D51" i="12"/>
  <c r="D50" i="12"/>
  <c r="D49" i="12"/>
  <c r="D48" i="12"/>
  <c r="D47" i="12"/>
  <c r="D46" i="12"/>
  <c r="D45" i="12"/>
  <c r="D44" i="12"/>
  <c r="D43" i="12"/>
  <c r="D42" i="12"/>
  <c r="D41" i="12"/>
  <c r="D40" i="12"/>
  <c r="D39" i="12"/>
  <c r="D38" i="12"/>
  <c r="D37" i="12"/>
  <c r="D36" i="12"/>
  <c r="D35" i="12"/>
  <c r="D33" i="12"/>
  <c r="D32" i="12"/>
  <c r="D31" i="12"/>
  <c r="Q27" i="12"/>
  <c r="D27" i="12" s="1"/>
  <c r="P26" i="12"/>
  <c r="P7" i="12" s="1"/>
  <c r="P5" i="12" s="1"/>
  <c r="D25" i="12"/>
  <c r="O24" i="12"/>
  <c r="D24" i="12" s="1"/>
  <c r="N23" i="12"/>
  <c r="D23" i="12" s="1"/>
  <c r="D22" i="12"/>
  <c r="M21" i="12"/>
  <c r="M7" i="12" s="1"/>
  <c r="M5" i="12" s="1"/>
  <c r="D20" i="12"/>
  <c r="L19" i="12"/>
  <c r="L7" i="12" s="1"/>
  <c r="L5" i="12" s="1"/>
  <c r="K18" i="12"/>
  <c r="D18" i="12" s="1"/>
  <c r="J17" i="12"/>
  <c r="D17" i="12"/>
  <c r="I16" i="12"/>
  <c r="D16" i="12" s="1"/>
  <c r="H15" i="12"/>
  <c r="D15" i="12" s="1"/>
  <c r="D14" i="12"/>
  <c r="E13" i="12"/>
  <c r="E7" i="12" s="1"/>
  <c r="R11" i="12"/>
  <c r="P9" i="12"/>
  <c r="N9" i="12"/>
  <c r="K9" i="12"/>
  <c r="I9" i="12"/>
  <c r="H9" i="12"/>
  <c r="E9" i="12"/>
  <c r="J7" i="12"/>
  <c r="J5" i="12" s="1"/>
  <c r="F7" i="12"/>
  <c r="G5" i="12"/>
  <c r="F14" i="11"/>
  <c r="R58" i="12" l="1"/>
  <c r="N7" i="12"/>
  <c r="Q7" i="12"/>
  <c r="Q5" i="12" s="1"/>
  <c r="F5" i="12"/>
  <c r="D26" i="12"/>
  <c r="H7" i="12"/>
  <c r="H5" i="12" s="1"/>
  <c r="S20" i="12"/>
  <c r="D21" i="12"/>
  <c r="S25" i="12" s="1"/>
  <c r="I7" i="12"/>
  <c r="I5" i="12" s="1"/>
  <c r="N5" i="12"/>
  <c r="E11" i="12"/>
  <c r="D11" i="12" s="1"/>
  <c r="S60" i="12" s="1"/>
  <c r="D19" i="12"/>
  <c r="D13" i="12"/>
  <c r="K7" i="12"/>
  <c r="K5" i="12" s="1"/>
  <c r="O7" i="12"/>
  <c r="O5" i="12" s="1"/>
  <c r="R28" i="12" l="1"/>
  <c r="R9" i="12"/>
  <c r="D9" i="12" s="1"/>
  <c r="S44" i="12" s="1"/>
  <c r="D58" i="12"/>
  <c r="S55" i="12"/>
  <c r="S29" i="12"/>
  <c r="E5" i="12"/>
  <c r="S45" i="12"/>
  <c r="S56" i="12"/>
  <c r="S37" i="12"/>
  <c r="S39" i="12"/>
  <c r="S57" i="12"/>
  <c r="S43" i="12"/>
  <c r="S42" i="12"/>
  <c r="S52" i="12"/>
  <c r="S54" i="12"/>
  <c r="S50" i="12"/>
  <c r="S61" i="12"/>
  <c r="S38" i="12"/>
  <c r="S58" i="12"/>
  <c r="S46" i="12"/>
  <c r="S32" i="12"/>
  <c r="S33" i="12"/>
  <c r="S35" i="12"/>
  <c r="S41" i="12"/>
  <c r="S47" i="12"/>
  <c r="S36" i="12"/>
  <c r="S53" i="12"/>
  <c r="S31" i="12"/>
  <c r="S48" i="12"/>
  <c r="S40" i="12"/>
  <c r="S51" i="12"/>
  <c r="S49" i="12"/>
  <c r="S59" i="12"/>
  <c r="S9" i="12" l="1"/>
  <c r="D28" i="12"/>
  <c r="R7" i="12"/>
  <c r="S11" i="12"/>
  <c r="T46" i="12"/>
  <c r="R7" i="11"/>
  <c r="D28" i="11"/>
  <c r="D58" i="11"/>
  <c r="R11" i="11"/>
  <c r="E57" i="11"/>
  <c r="D57" i="11" s="1"/>
  <c r="E56" i="11"/>
  <c r="D56" i="11" s="1"/>
  <c r="N23" i="11"/>
  <c r="L19" i="11"/>
  <c r="P26" i="11"/>
  <c r="D26" i="11" s="1"/>
  <c r="N7" i="11"/>
  <c r="Q27" i="11"/>
  <c r="D27" i="11" s="1"/>
  <c r="H15" i="11"/>
  <c r="D15" i="11" s="1"/>
  <c r="O24" i="11"/>
  <c r="D24" i="11" s="1"/>
  <c r="I16" i="11"/>
  <c r="D16" i="11" s="1"/>
  <c r="D14" i="11"/>
  <c r="K18" i="11"/>
  <c r="K7" i="11" s="1"/>
  <c r="M21" i="11"/>
  <c r="D19" i="11"/>
  <c r="J17" i="11"/>
  <c r="J7" i="11" s="1"/>
  <c r="J5" i="11" s="1"/>
  <c r="E13" i="11"/>
  <c r="D13" i="11" s="1"/>
  <c r="D29" i="11"/>
  <c r="M7" i="11"/>
  <c r="M5" i="11" s="1"/>
  <c r="H9" i="11"/>
  <c r="E9" i="11"/>
  <c r="D46" i="11"/>
  <c r="D53" i="11"/>
  <c r="D48" i="11"/>
  <c r="D45" i="11"/>
  <c r="D51" i="11"/>
  <c r="D50" i="11"/>
  <c r="D47" i="11"/>
  <c r="D39" i="11"/>
  <c r="D38" i="11"/>
  <c r="D37" i="11"/>
  <c r="D42" i="11"/>
  <c r="D32" i="11"/>
  <c r="D31" i="11"/>
  <c r="D55" i="11"/>
  <c r="D54" i="11"/>
  <c r="D49" i="11"/>
  <c r="D44" i="11"/>
  <c r="D41" i="11"/>
  <c r="D36" i="11"/>
  <c r="D35" i="11"/>
  <c r="D34" i="11"/>
  <c r="D33" i="11"/>
  <c r="D30" i="11"/>
  <c r="D25" i="11"/>
  <c r="D22" i="11"/>
  <c r="D20" i="11"/>
  <c r="R9" i="11"/>
  <c r="G5" i="11"/>
  <c r="F9" i="11"/>
  <c r="N9" i="11"/>
  <c r="N5" i="11" s="1"/>
  <c r="P9" i="11"/>
  <c r="I9" i="11"/>
  <c r="D52" i="11"/>
  <c r="D40" i="11"/>
  <c r="D43" i="11"/>
  <c r="K9" i="11"/>
  <c r="D17" i="11"/>
  <c r="F7" i="11"/>
  <c r="H7" i="11"/>
  <c r="H5" i="11" s="1"/>
  <c r="L7" i="11"/>
  <c r="L5" i="11" s="1"/>
  <c r="D23" i="11"/>
  <c r="D21" i="11"/>
  <c r="I5" i="11" l="1"/>
  <c r="I7" i="11"/>
  <c r="R5" i="12"/>
  <c r="D7" i="12"/>
  <c r="D18" i="11"/>
  <c r="F5" i="11"/>
  <c r="O7" i="11"/>
  <c r="O5" i="11" s="1"/>
  <c r="R5" i="11"/>
  <c r="S20" i="11"/>
  <c r="E11" i="11"/>
  <c r="D11" i="11" s="1"/>
  <c r="S57" i="11" s="1"/>
  <c r="E7" i="11"/>
  <c r="D9" i="11"/>
  <c r="S46" i="11" s="1"/>
  <c r="S25" i="11"/>
  <c r="K5" i="11"/>
  <c r="P7" i="11"/>
  <c r="P5" i="11" s="1"/>
  <c r="Q7" i="11"/>
  <c r="Q5" i="11" s="1"/>
  <c r="S23" i="12" l="1"/>
  <c r="S26" i="12"/>
  <c r="S24" i="12"/>
  <c r="S16" i="12"/>
  <c r="S17" i="12"/>
  <c r="D5" i="12"/>
  <c r="S18" i="12"/>
  <c r="S15" i="12"/>
  <c r="S21" i="12"/>
  <c r="S27" i="12"/>
  <c r="S14" i="12"/>
  <c r="S19" i="12"/>
  <c r="S28" i="12"/>
  <c r="S13" i="12"/>
  <c r="S22" i="12"/>
  <c r="S56" i="11"/>
  <c r="S58" i="11"/>
  <c r="E5" i="11"/>
  <c r="S39" i="11"/>
  <c r="S50" i="11"/>
  <c r="S49" i="11"/>
  <c r="S53" i="11"/>
  <c r="S36" i="11"/>
  <c r="S40" i="11"/>
  <c r="S47" i="11"/>
  <c r="S34" i="11"/>
  <c r="S35" i="11"/>
  <c r="S41" i="11"/>
  <c r="S51" i="11"/>
  <c r="S32" i="11"/>
  <c r="S42" i="11"/>
  <c r="S33" i="11"/>
  <c r="S31" i="11"/>
  <c r="S54" i="11"/>
  <c r="S38" i="11"/>
  <c r="S29" i="11"/>
  <c r="D7" i="11"/>
  <c r="S26" i="11" s="1"/>
  <c r="S52" i="11"/>
  <c r="S45" i="11"/>
  <c r="S44" i="11"/>
  <c r="S37" i="11"/>
  <c r="S30" i="11"/>
  <c r="S48" i="11"/>
  <c r="S55" i="11"/>
  <c r="S43" i="11"/>
  <c r="Q63" i="12" l="1"/>
  <c r="O63" i="12"/>
  <c r="H63" i="12"/>
  <c r="G63" i="12"/>
  <c r="N63" i="12"/>
  <c r="L63" i="12"/>
  <c r="I63" i="12"/>
  <c r="E63" i="12"/>
  <c r="P63" i="12"/>
  <c r="J63" i="12"/>
  <c r="K63" i="12"/>
  <c r="F63" i="12"/>
  <c r="M63" i="12"/>
  <c r="S11" i="11"/>
  <c r="S7" i="12"/>
  <c r="S28" i="11"/>
  <c r="S21" i="11"/>
  <c r="S16" i="11"/>
  <c r="T43" i="11"/>
  <c r="S22" i="11"/>
  <c r="S19" i="11"/>
  <c r="S14" i="11"/>
  <c r="S17" i="11"/>
  <c r="S18" i="11"/>
  <c r="S23" i="11"/>
  <c r="S13" i="11"/>
  <c r="S24" i="11"/>
  <c r="S27" i="11"/>
  <c r="S15" i="11"/>
  <c r="D5" i="11"/>
  <c r="H60" i="11" s="1"/>
  <c r="S9" i="11"/>
  <c r="G60" i="11"/>
  <c r="Q60" i="11"/>
  <c r="O60" i="11"/>
  <c r="L60" i="11" l="1"/>
  <c r="E60" i="11"/>
  <c r="J60" i="11"/>
  <c r="M60" i="11"/>
  <c r="K60" i="11"/>
  <c r="N60" i="11"/>
  <c r="F60" i="11"/>
  <c r="P60" i="11"/>
  <c r="I60" i="11"/>
  <c r="S7" i="11"/>
  <c r="D27" i="17" l="1"/>
  <c r="R28" i="17" s="1"/>
  <c r="D28" i="17" l="1"/>
  <c r="R7" i="17"/>
  <c r="D7" i="17" l="1"/>
  <c r="R5" i="17"/>
  <c r="S13" i="17" l="1"/>
  <c r="S14" i="17"/>
  <c r="S17" i="17"/>
  <c r="D5" i="17"/>
  <c r="S22" i="17"/>
  <c r="S15" i="17"/>
  <c r="S16" i="17"/>
  <c r="S21" i="17"/>
  <c r="S26" i="17"/>
  <c r="S19" i="17"/>
  <c r="S24" i="17"/>
  <c r="S18" i="17"/>
  <c r="S23" i="17"/>
  <c r="S27" i="17"/>
  <c r="S28" i="17"/>
  <c r="S7" i="17" l="1"/>
  <c r="I63" i="17"/>
  <c r="F63" i="17"/>
  <c r="H63" i="17"/>
  <c r="Q63" i="17"/>
  <c r="E63" i="17"/>
  <c r="O63" i="17"/>
  <c r="G63" i="17"/>
  <c r="J63" i="17"/>
  <c r="N63" i="17"/>
  <c r="K63" i="17"/>
  <c r="M63" i="17"/>
  <c r="L63" i="17"/>
  <c r="P63" i="17"/>
  <c r="D28" i="18" l="1"/>
  <c r="R7" i="18"/>
  <c r="R5" i="18" s="1"/>
  <c r="D7" i="18"/>
  <c r="S19" i="18" s="1"/>
  <c r="S17" i="18" l="1"/>
  <c r="S26" i="18"/>
  <c r="S15" i="18"/>
  <c r="S22" i="18"/>
  <c r="S23" i="18"/>
  <c r="S20" i="18"/>
  <c r="S24" i="18"/>
  <c r="S18" i="18"/>
  <c r="S25" i="18"/>
  <c r="D5" i="18"/>
  <c r="S14" i="18"/>
  <c r="S16" i="18"/>
  <c r="S27" i="18"/>
  <c r="S21" i="18"/>
  <c r="S7" i="18" l="1"/>
  <c r="L80" i="18"/>
  <c r="F80" i="18"/>
  <c r="P80" i="18"/>
  <c r="H80" i="18"/>
  <c r="Q80" i="18"/>
  <c r="J80" i="18"/>
  <c r="G80" i="18"/>
  <c r="E80" i="18"/>
  <c r="O80" i="18"/>
  <c r="M80" i="18"/>
  <c r="I80" i="18"/>
  <c r="N80" i="18"/>
  <c r="K80" i="18"/>
  <c r="R80" i="18"/>
  <c r="C447" i="25" l="1"/>
  <c r="C443" i="25" l="1"/>
  <c r="C448" i="25"/>
  <c r="C444" i="25" s="1"/>
  <c r="C442" i="25" s="1"/>
  <c r="F688" i="25" s="1"/>
  <c r="K189" i="25" l="1"/>
  <c r="K203" i="25" s="1"/>
  <c r="I126" i="25"/>
  <c r="K315" i="25"/>
  <c r="K334" i="25" s="1"/>
  <c r="J189" i="25"/>
  <c r="J203" i="25" s="1"/>
  <c r="J315" i="25"/>
  <c r="J334" i="25" s="1"/>
  <c r="K232" i="25"/>
  <c r="K245" i="25" s="1"/>
  <c r="I189" i="25"/>
  <c r="J53" i="25"/>
  <c r="K73" i="25"/>
  <c r="K76" i="25" s="1"/>
  <c r="J358" i="25"/>
  <c r="K53" i="25"/>
  <c r="K67" i="25" s="1"/>
  <c r="K358" i="25"/>
  <c r="K362" i="25" s="1"/>
  <c r="K435" i="25" s="1"/>
  <c r="J169" i="25"/>
  <c r="J181" i="25" s="1"/>
  <c r="K169" i="25"/>
  <c r="K181" i="25" s="1"/>
  <c r="I169" i="25"/>
  <c r="J73" i="25"/>
  <c r="K210" i="25"/>
  <c r="K225" i="25" s="1"/>
  <c r="I105" i="25"/>
  <c r="K126" i="25"/>
  <c r="K143" i="25" s="1"/>
  <c r="I315" i="25"/>
  <c r="I232" i="25"/>
  <c r="J210" i="25"/>
  <c r="J225" i="25" s="1"/>
  <c r="J150" i="25"/>
  <c r="J163" i="25" s="1"/>
  <c r="J105" i="25"/>
  <c r="J119" i="25" s="1"/>
  <c r="K150" i="25"/>
  <c r="K163" i="25" s="1"/>
  <c r="K253" i="25"/>
  <c r="K264" i="25" s="1"/>
  <c r="I210" i="25"/>
  <c r="I150" i="25"/>
  <c r="K105" i="25"/>
  <c r="K119" i="25" s="1"/>
  <c r="J232" i="25"/>
  <c r="J245" i="25" s="1"/>
  <c r="J253" i="25"/>
  <c r="J264" i="25" s="1"/>
  <c r="I253" i="25"/>
  <c r="J126" i="25"/>
  <c r="J143" i="25" s="1"/>
  <c r="I119" i="25" l="1"/>
  <c r="L105" i="25"/>
  <c r="L119" i="25" s="1"/>
  <c r="K336" i="25"/>
  <c r="K440" i="25" s="1"/>
  <c r="I163" i="25"/>
  <c r="L150" i="25"/>
  <c r="L163" i="25" s="1"/>
  <c r="J76" i="25"/>
  <c r="L73" i="25"/>
  <c r="L76" i="25" s="1"/>
  <c r="L358" i="25"/>
  <c r="L362" i="25" s="1"/>
  <c r="L435" i="25" s="1"/>
  <c r="J362" i="25"/>
  <c r="J435" i="25" s="1"/>
  <c r="L210" i="25"/>
  <c r="L225" i="25" s="1"/>
  <c r="I225" i="25"/>
  <c r="L232" i="25"/>
  <c r="L245" i="25" s="1"/>
  <c r="I245" i="25"/>
  <c r="I181" i="25"/>
  <c r="L169" i="25"/>
  <c r="L181" i="25" s="1"/>
  <c r="L253" i="25"/>
  <c r="L264" i="25" s="1"/>
  <c r="I264" i="25"/>
  <c r="I334" i="25"/>
  <c r="L315" i="25"/>
  <c r="L334" i="25" s="1"/>
  <c r="J67" i="25"/>
  <c r="J336" i="25" s="1"/>
  <c r="L53" i="25"/>
  <c r="L67" i="25" s="1"/>
  <c r="L126" i="25"/>
  <c r="L143" i="25" s="1"/>
  <c r="I143" i="25"/>
  <c r="I203" i="25"/>
  <c r="L189" i="25"/>
  <c r="L203" i="25" s="1"/>
  <c r="J440" i="25" l="1"/>
  <c r="L336" i="25"/>
  <c r="L440" i="25" s="1"/>
  <c r="C601" i="25" s="1"/>
  <c r="C604" i="25" s="1"/>
  <c r="I336" i="25"/>
  <c r="I440" i="2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D8" authorId="0" shapeId="0" xr:uid="{5CB25C84-7B5E-48CD-AFC6-A36403C557A5}">
      <text>
        <r>
          <rPr>
            <b/>
            <sz val="9"/>
            <color indexed="81"/>
            <rFont val="Tahoma"/>
            <charset val="1"/>
          </rPr>
          <t>Cindy Lui:</t>
        </r>
        <r>
          <rPr>
            <sz val="9"/>
            <color indexed="81"/>
            <rFont val="Tahoma"/>
            <charset val="1"/>
          </rPr>
          <t xml:space="preserve">
UMB 42nd Amendment + USM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7BC1B064-E71F-44B5-8B3A-3D769D1C2396}">
      <text>
        <r>
          <rPr>
            <b/>
            <sz val="9"/>
            <color indexed="81"/>
            <rFont val="Tahoma"/>
            <family val="2"/>
          </rPr>
          <t>Cindy Lui:</t>
        </r>
        <r>
          <rPr>
            <sz val="9"/>
            <color indexed="81"/>
            <rFont val="Tahoma"/>
            <family val="2"/>
          </rPr>
          <t xml:space="preserve">
USG Serv Ctr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C58F0BA6-74FD-4A56-BE92-EDC2C63AD3B7}">
      <text>
        <r>
          <rPr>
            <b/>
            <sz val="9"/>
            <color indexed="81"/>
            <rFont val="Tahoma"/>
            <family val="2"/>
          </rPr>
          <t>Cindy Lui:</t>
        </r>
        <r>
          <rPr>
            <sz val="9"/>
            <color indexed="81"/>
            <rFont val="Tahoma"/>
            <family val="2"/>
          </rPr>
          <t xml:space="preserve">
USG Serv Ctr
</t>
        </r>
      </text>
    </comment>
    <comment ref="C35" authorId="0" shapeId="0" xr:uid="{5782742A-2F2B-43E5-AC74-4BC0058995E4}">
      <text>
        <r>
          <rPr>
            <b/>
            <sz val="9"/>
            <color indexed="81"/>
            <rFont val="Tahoma"/>
            <family val="2"/>
          </rPr>
          <t>Cindy Lui:</t>
        </r>
        <r>
          <rPr>
            <sz val="9"/>
            <color indexed="81"/>
            <rFont val="Tahoma"/>
            <family val="2"/>
          </rPr>
          <t xml:space="preserve">
USG Serv Ctr
</t>
        </r>
      </text>
    </comment>
    <comment ref="C47" authorId="0" shapeId="0" xr:uid="{35C9BEB0-358C-405D-987D-1C7EE9ECD2E1}">
      <text>
        <r>
          <rPr>
            <b/>
            <sz val="9"/>
            <color indexed="81"/>
            <rFont val="Tahoma"/>
            <family val="2"/>
          </rPr>
          <t>Cindy Lui:</t>
        </r>
        <r>
          <rPr>
            <sz val="9"/>
            <color indexed="81"/>
            <rFont val="Tahoma"/>
            <family val="2"/>
          </rPr>
          <t xml:space="preserve">
Can I combine these 2 infrastructure projects?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Cindy Lui</author>
    <author>tc={13DF9AA1-CE8F-4BE5-93D1-65423CCED8B1}</author>
  </authors>
  <commentList>
    <comment ref="B445" authorId="0" shapeId="0" xr:uid="{D30E0B30-08C8-4E38-BBA2-1FDAB2CCDF32}">
      <text>
        <r>
          <rPr>
            <b/>
            <sz val="9"/>
            <color indexed="81"/>
            <rFont val="Tahoma"/>
            <family val="2"/>
          </rPr>
          <t>Cindy Lui:</t>
        </r>
        <r>
          <rPr>
            <sz val="9"/>
            <color indexed="81"/>
            <rFont val="Tahoma"/>
            <family val="2"/>
          </rPr>
          <t xml:space="preserve">
exclude UMB FR 42nd Amendment
</t>
        </r>
      </text>
    </comment>
    <comment ref="B446" authorId="0" shapeId="0" xr:uid="{27249FDD-2435-41ED-84B8-388EAF6ADB99}">
      <text>
        <r>
          <rPr>
            <b/>
            <sz val="9"/>
            <color indexed="81"/>
            <rFont val="Tahoma"/>
            <family val="2"/>
          </rPr>
          <t>Cindy Lui:</t>
        </r>
        <r>
          <rPr>
            <sz val="9"/>
            <color indexed="81"/>
            <rFont val="Tahoma"/>
            <family val="2"/>
          </rPr>
          <t xml:space="preserve">
include UMB 42nd Amendment FR</t>
        </r>
      </text>
    </comment>
    <comment ref="B447" authorId="1" shapeId="0" xr:uid="{13DF9AA1-CE8F-4BE5-93D1-65423CCED8B1}">
      <text>
        <t>[Threaded comment]
Your version of Excel allows you to read this threaded comment; however, any edits to it will get removed if the file is opened in a newer version of Excel. Learn more: https://go.microsoft.com/fwlink/?linkid=870924
Comment:
    UMCP 42nd amnd North Campus Dining Hall
UMCP 42nd amnd New Residence Hall
UMCP 42nd Two New Residence Halls
UMCP 42nd North Campus Dining Hall Replacement
UMCP 41st Two New Residence Halls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64657D1D-D67C-4ADA-A01E-B55BC927DB5D}">
      <text>
        <r>
          <rPr>
            <b/>
            <sz val="9"/>
            <color indexed="81"/>
            <rFont val="Tahoma"/>
            <family val="2"/>
          </rPr>
          <t>Cindy Lui:</t>
        </r>
        <r>
          <rPr>
            <sz val="9"/>
            <color indexed="81"/>
            <rFont val="Tahoma"/>
            <family val="2"/>
          </rPr>
          <t xml:space="preserve">
USG Serv Ctr
</t>
        </r>
      </text>
    </comment>
    <comment ref="C35" authorId="0" shapeId="0" xr:uid="{B39E0954-0511-4E0C-A9BA-183D02E20CD2}">
      <text>
        <r>
          <rPr>
            <b/>
            <sz val="9"/>
            <color indexed="81"/>
            <rFont val="Tahoma"/>
            <family val="2"/>
          </rPr>
          <t>Cindy Lui:</t>
        </r>
        <r>
          <rPr>
            <sz val="9"/>
            <color indexed="81"/>
            <rFont val="Tahoma"/>
            <family val="2"/>
          </rPr>
          <t xml:space="preserve">
USG Serv Ctr
</t>
        </r>
      </text>
    </comment>
    <comment ref="C47" authorId="0" shapeId="0" xr:uid="{DF8494FC-4D79-4CC0-9528-CF3533F430F4}">
      <text>
        <r>
          <rPr>
            <b/>
            <sz val="9"/>
            <color indexed="81"/>
            <rFont val="Tahoma"/>
            <family val="2"/>
          </rPr>
          <t>Cindy Lui:</t>
        </r>
        <r>
          <rPr>
            <sz val="9"/>
            <color indexed="81"/>
            <rFont val="Tahoma"/>
            <family val="2"/>
          </rPr>
          <t xml:space="preserve">
Can I combine these 2 infrastructure projects?</t>
        </r>
      </text>
    </comment>
    <comment ref="K61" authorId="0" shapeId="0" xr:uid="{C461F39B-BBB3-4DF0-8F1D-0A0FC5EBA7E8}">
      <text>
        <r>
          <rPr>
            <b/>
            <sz val="9"/>
            <color indexed="81"/>
            <rFont val="Tahoma"/>
            <family val="2"/>
          </rPr>
          <t>Cindy Lui:</t>
        </r>
        <r>
          <rPr>
            <sz val="9"/>
            <color indexed="81"/>
            <rFont val="Tahoma"/>
            <family val="2"/>
          </rPr>
          <t xml:space="preserve">
subtract 
$2,253,426.81 (UMCP reimb) -paid 
from plant fund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Cindy Lui</author>
    <author>tc={842D598C-17EC-4175-9230-3D4FF03AF13E}</author>
  </authors>
  <commentList>
    <comment ref="B447" authorId="0" shapeId="0" xr:uid="{4F14D0D8-F0BD-4DB6-85A6-B54CA2F046FB}">
      <text>
        <r>
          <rPr>
            <b/>
            <sz val="9"/>
            <color indexed="81"/>
            <rFont val="Tahoma"/>
            <family val="2"/>
          </rPr>
          <t>Cindy Lui:</t>
        </r>
        <r>
          <rPr>
            <sz val="9"/>
            <color indexed="81"/>
            <rFont val="Tahoma"/>
            <family val="2"/>
          </rPr>
          <t xml:space="preserve">
exclude UMB FR 42nd Amendment
</t>
        </r>
      </text>
    </comment>
    <comment ref="B448" authorId="0" shapeId="0" xr:uid="{B32E35EB-9C6F-4825-BB15-D9088D4C9A94}">
      <text>
        <r>
          <rPr>
            <b/>
            <sz val="9"/>
            <color indexed="81"/>
            <rFont val="Tahoma"/>
            <family val="2"/>
          </rPr>
          <t>Cindy Lui:</t>
        </r>
        <r>
          <rPr>
            <sz val="9"/>
            <color indexed="81"/>
            <rFont val="Tahoma"/>
            <family val="2"/>
          </rPr>
          <t xml:space="preserve">
include UMB 42nd Amendment FR</t>
        </r>
      </text>
    </comment>
    <comment ref="B449" authorId="1" shapeId="0" xr:uid="{842D598C-17EC-4175-9230-3D4FF03AF13E}">
      <text>
        <t>[Threaded comment]
Your version of Excel allows you to read this threaded comment; however, any edits to it will get removed if the file is opened in a newer version of Excel. Learn more: https://go.microsoft.com/fwlink/?linkid=870924
Comment:
    UMCP 42nd amnd North Campus Dining Hall
UMCP 42nd amnd New Residence Hall
UMCP 42nd Two New Residence Halls
UMCP 42nd North Campus Dining Hall Replacement
UMCP 41st Two New Residence Halls</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D16383A1-7BD2-4B4D-BC05-35A34685CC28}">
      <text>
        <r>
          <rPr>
            <b/>
            <sz val="9"/>
            <color indexed="81"/>
            <rFont val="Tahoma"/>
            <family val="2"/>
          </rPr>
          <t>Cindy Lui:</t>
        </r>
        <r>
          <rPr>
            <sz val="9"/>
            <color indexed="81"/>
            <rFont val="Tahoma"/>
            <family val="2"/>
          </rPr>
          <t xml:space="preserve">
USG Serv Ctr
</t>
        </r>
      </text>
    </comment>
    <comment ref="C35" authorId="0" shapeId="0" xr:uid="{A8CDBFD3-A533-4DAC-9415-4105D2358861}">
      <text>
        <r>
          <rPr>
            <b/>
            <sz val="9"/>
            <color indexed="81"/>
            <rFont val="Tahoma"/>
            <family val="2"/>
          </rPr>
          <t>Cindy Lui:</t>
        </r>
        <r>
          <rPr>
            <sz val="9"/>
            <color indexed="81"/>
            <rFont val="Tahoma"/>
            <family val="2"/>
          </rPr>
          <t xml:space="preserve">
USG Serv Ctr
</t>
        </r>
      </text>
    </comment>
    <comment ref="C47" authorId="0" shapeId="0" xr:uid="{01AE13B6-035D-42AB-BF10-C68312D38D57}">
      <text>
        <r>
          <rPr>
            <b/>
            <sz val="9"/>
            <color indexed="81"/>
            <rFont val="Tahoma"/>
            <family val="2"/>
          </rPr>
          <t>Cindy Lui:</t>
        </r>
        <r>
          <rPr>
            <sz val="9"/>
            <color indexed="81"/>
            <rFont val="Tahoma"/>
            <family val="2"/>
          </rPr>
          <t xml:space="preserve">
Can I combine these 2 infrastructure projects?</t>
        </r>
      </text>
    </comment>
    <comment ref="K61" authorId="0" shapeId="0" xr:uid="{6E63B18E-68B4-41FD-9853-6B06C79B17F5}">
      <text>
        <r>
          <rPr>
            <b/>
            <sz val="9"/>
            <color indexed="81"/>
            <rFont val="Tahoma"/>
            <family val="2"/>
          </rPr>
          <t>Cindy Lui:</t>
        </r>
        <r>
          <rPr>
            <sz val="9"/>
            <color indexed="81"/>
            <rFont val="Tahoma"/>
            <family val="2"/>
          </rPr>
          <t xml:space="preserve">
subtract 
$2,253,426.81 (UMCP reimb) -paid 
from plant fund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Cindy Lui</author>
    <author>tc={50F17AC3-1382-48BB-A10F-97603147A9F2}</author>
  </authors>
  <commentList>
    <comment ref="B447" authorId="0" shapeId="0" xr:uid="{0C48DA3E-7E72-45A0-9404-A85CD1894722}">
      <text>
        <r>
          <rPr>
            <b/>
            <sz val="9"/>
            <color indexed="81"/>
            <rFont val="Tahoma"/>
            <family val="2"/>
          </rPr>
          <t>Cindy Lui:</t>
        </r>
        <r>
          <rPr>
            <sz val="9"/>
            <color indexed="81"/>
            <rFont val="Tahoma"/>
            <family val="2"/>
          </rPr>
          <t xml:space="preserve">
exclude UMB FR 42nd Amendment
</t>
        </r>
      </text>
    </comment>
    <comment ref="B448" authorId="0" shapeId="0" xr:uid="{AE6BDFF3-D5AC-4155-B03C-805D4E39606A}">
      <text>
        <r>
          <rPr>
            <b/>
            <sz val="9"/>
            <color indexed="81"/>
            <rFont val="Tahoma"/>
            <family val="2"/>
          </rPr>
          <t>Cindy Lui:</t>
        </r>
        <r>
          <rPr>
            <sz val="9"/>
            <color indexed="81"/>
            <rFont val="Tahoma"/>
            <family val="2"/>
          </rPr>
          <t xml:space="preserve">
include UMB 42nd Amendment FR</t>
        </r>
      </text>
    </comment>
    <comment ref="B449" authorId="1" shapeId="0" xr:uid="{50F17AC3-1382-48BB-A10F-97603147A9F2}">
      <text>
        <t>[Threaded comment]
Your version of Excel allows you to read this threaded comment; however, any edits to it will get removed if the file is opened in a newer version of Excel. Learn more: https://go.microsoft.com/fwlink/?linkid=870924
Comment:
    UMCP 42nd amnd North Campus Dining Hall
UMCP 42nd amnd New Residence Hall
UMCP 42nd Two New Residence Halls
UMCP 42nd North Campus Dining Hall Replacement
UMCP 41st Two New Residence Halls</t>
      </text>
    </comment>
  </commentList>
</comments>
</file>

<file path=xl/sharedStrings.xml><?xml version="1.0" encoding="utf-8"?>
<sst xmlns="http://schemas.openxmlformats.org/spreadsheetml/2006/main" count="6981" uniqueCount="641">
  <si>
    <t>Payment</t>
  </si>
  <si>
    <t>Date</t>
  </si>
  <si>
    <t>Principal</t>
  </si>
  <si>
    <t>Interest</t>
  </si>
  <si>
    <t>Total</t>
  </si>
  <si>
    <t xml:space="preserve">       UMB Facilities Renewal (Academic) </t>
  </si>
  <si>
    <t xml:space="preserve">         UMBC Facilities Renewal (Academic)</t>
  </si>
  <si>
    <t>Percent</t>
  </si>
  <si>
    <t>Inst</t>
  </si>
  <si>
    <t>Type</t>
  </si>
  <si>
    <t>Project</t>
  </si>
  <si>
    <t>UMCP</t>
  </si>
  <si>
    <t>UMB</t>
  </si>
  <si>
    <t>UMBI</t>
  </si>
  <si>
    <t>UMES</t>
  </si>
  <si>
    <t>UMBC</t>
  </si>
  <si>
    <t>UMCES</t>
  </si>
  <si>
    <t>BSU</t>
  </si>
  <si>
    <t>CSU</t>
  </si>
  <si>
    <t>FSU</t>
  </si>
  <si>
    <t>SU</t>
  </si>
  <si>
    <t>TU</t>
  </si>
  <si>
    <t>UB</t>
  </si>
  <si>
    <t>by project</t>
  </si>
  <si>
    <t>Total dollars:</t>
  </si>
  <si>
    <t>Percent by Institution:</t>
  </si>
  <si>
    <t xml:space="preserve">          Distribution of Debt Services</t>
  </si>
  <si>
    <t xml:space="preserve">       University System of Maryland</t>
  </si>
  <si>
    <t xml:space="preserve">         UMCP Facilities Renewal (Acad)</t>
  </si>
  <si>
    <t xml:space="preserve">     TU Union Addition/Renovation (Auxiliary)</t>
  </si>
  <si>
    <t xml:space="preserve">  UMCP N. Campus Dining Hall Replace (Aux)</t>
  </si>
  <si>
    <t xml:space="preserve">      UMCP Two New Residence Halls (Aux)</t>
  </si>
  <si>
    <t>Facilities Renewal Projects</t>
  </si>
  <si>
    <t>37th Acad</t>
  </si>
  <si>
    <t>Campuswide Building System &amp; Infrastructure</t>
  </si>
  <si>
    <t>New Academic Commons</t>
  </si>
  <si>
    <t>Emergency Projects</t>
  </si>
  <si>
    <t>29th Acad</t>
  </si>
  <si>
    <t>Fine and Performing Arts Center</t>
  </si>
  <si>
    <t>28th Acad</t>
  </si>
  <si>
    <t>27th Acad</t>
  </si>
  <si>
    <t>39th Aux</t>
  </si>
  <si>
    <t>N. Campus Dining Hall Replacement</t>
  </si>
  <si>
    <t>Two New Residence Halls</t>
  </si>
  <si>
    <t>Event Center and Arena</t>
  </si>
  <si>
    <t>Union Addition/Renovation</t>
  </si>
  <si>
    <t>38th Aux</t>
  </si>
  <si>
    <t>Dorchester Residence Hall Renovation</t>
  </si>
  <si>
    <t>35th Aux</t>
  </si>
  <si>
    <t>Elevator &amp; Fire Alarm Imp, Parking Garage</t>
  </si>
  <si>
    <t>Five Dorm Renovation</t>
  </si>
  <si>
    <t xml:space="preserve">       FSU Five Dorm Renovation (Auxiliary)</t>
  </si>
  <si>
    <t>Debt Svc from Earnings\Accrued Int\Plant Fund</t>
  </si>
  <si>
    <t>40th Acad</t>
  </si>
  <si>
    <t>41st Acad</t>
  </si>
  <si>
    <t>Flood Mitigation</t>
  </si>
  <si>
    <t>USM</t>
  </si>
  <si>
    <t>41th Acad</t>
  </si>
  <si>
    <t>41st Aux</t>
  </si>
  <si>
    <t>Pharmacy and Health Professions</t>
  </si>
  <si>
    <t>South MD Higher Education Center Bldg III</t>
  </si>
  <si>
    <t>Interdisciplinary Life Science Building</t>
  </si>
  <si>
    <t>Retriever Activities Center Renewal</t>
  </si>
  <si>
    <t>Glen Towers Addition &amp; Renovation</t>
  </si>
  <si>
    <t xml:space="preserve">   UMES Phamacy &amp; Health Professions (Acad) </t>
  </si>
  <si>
    <t xml:space="preserve">       UMES Flood Mitigation (Academic) </t>
  </si>
  <si>
    <t xml:space="preserve">  UMBC Interdisclipinary Life Sci Bldg (Acad)</t>
  </si>
  <si>
    <t xml:space="preserve">   BSU Facilities Renewal Projects (Academic)</t>
  </si>
  <si>
    <t xml:space="preserve">         CSU Facilities Renewal (Academic)</t>
  </si>
  <si>
    <t xml:space="preserve">         FSU Facilities Renewal (Academic)</t>
  </si>
  <si>
    <t xml:space="preserve">         SU Facilities Renewal (Academic)</t>
  </si>
  <si>
    <t xml:space="preserve">         TU Facilities Renewal (Academic)</t>
  </si>
  <si>
    <t xml:space="preserve">         UB Facilities Renewal (Academic)</t>
  </si>
  <si>
    <t xml:space="preserve"> TU Glen Towers &amp; Addition &amp; Renov (Auxiliary)</t>
  </si>
  <si>
    <t>Principal-Total</t>
  </si>
  <si>
    <t>Interest-Total</t>
  </si>
  <si>
    <t>10 Years Bonds:</t>
  </si>
  <si>
    <t xml:space="preserve">20 Years Bonds: </t>
  </si>
  <si>
    <t xml:space="preserve">UMBC </t>
  </si>
  <si>
    <t>Utility Upgrades</t>
  </si>
  <si>
    <t>37,36th Acad</t>
  </si>
  <si>
    <t>New Health Services and Counseling Building</t>
  </si>
  <si>
    <t xml:space="preserve">       UMES Facilities Renewal (Academic) </t>
  </si>
  <si>
    <t xml:space="preserve"> USM SG Service Center and Nursing (Acad)</t>
  </si>
  <si>
    <t>42nd Acad</t>
  </si>
  <si>
    <t>Education &amp; Health Sciences</t>
  </si>
  <si>
    <t>33rd Acad</t>
  </si>
  <si>
    <t>New Performing Arts &amp; Humanities Facility</t>
  </si>
  <si>
    <t xml:space="preserve">30 Years Bonds: </t>
  </si>
  <si>
    <t>Chemistry Building Wing 2, 3, 5</t>
  </si>
  <si>
    <t>Public Policy Building</t>
  </si>
  <si>
    <t>Physics Building</t>
  </si>
  <si>
    <t>42nd Amendment Acad</t>
  </si>
  <si>
    <t>42,41 Acad</t>
  </si>
  <si>
    <t>42,36th Acad</t>
  </si>
  <si>
    <t>42 Aux</t>
  </si>
  <si>
    <t>42,41 Aux</t>
  </si>
  <si>
    <t>Balance</t>
  </si>
  <si>
    <t xml:space="preserve">  FSU Education &amp; Health Sciences (Acad)</t>
  </si>
  <si>
    <t xml:space="preserve">            </t>
  </si>
  <si>
    <t>43rd Acad</t>
  </si>
  <si>
    <t>Infrastructure Projects</t>
  </si>
  <si>
    <t>37th Aux</t>
  </si>
  <si>
    <t>Residence Tower Renovation</t>
  </si>
  <si>
    <t>43rd Amendment</t>
  </si>
  <si>
    <t>Natural Gas Conversion</t>
  </si>
  <si>
    <t>43,42,41,40,39,38 Aux</t>
  </si>
  <si>
    <t>43,42,41 Aux</t>
  </si>
  <si>
    <t>40th Aux</t>
  </si>
  <si>
    <t>Rossborough Lane Parking Garage</t>
  </si>
  <si>
    <t>41t,39h Aux</t>
  </si>
  <si>
    <t xml:space="preserve">     UMES Natural Gas Conversion (Aux)</t>
  </si>
  <si>
    <t xml:space="preserve">    2022 Series A Bond Funded Projects</t>
  </si>
  <si>
    <t xml:space="preserve">                                                                                 Total Debt Services - 2022A</t>
  </si>
  <si>
    <t xml:space="preserve">         Total Facilities Renewal - 2022A</t>
  </si>
  <si>
    <t xml:space="preserve">        Total Academic Projects - 2022A</t>
  </si>
  <si>
    <t xml:space="preserve">           Total Auxiliary Projects - 2022A</t>
  </si>
  <si>
    <t xml:space="preserve">           2022 A Bonds (20 Years Bonds)</t>
  </si>
  <si>
    <t xml:space="preserve">          Total Debt Services - 2022 Series A</t>
  </si>
  <si>
    <t xml:space="preserve">           2022 A Bonds (10 Years Bonds)</t>
  </si>
  <si>
    <t>43,41,40 Acad</t>
  </si>
  <si>
    <t>43,42,41,40,39,38,37,36,35,34,33,32,29 Acad</t>
  </si>
  <si>
    <t>42,39 Acad</t>
  </si>
  <si>
    <t>42 Acad</t>
  </si>
  <si>
    <t>43,42,41,40,39,38,37 Acad</t>
  </si>
  <si>
    <t>43,42,40 Acad</t>
  </si>
  <si>
    <t>43,41,40,39,38 Acad</t>
  </si>
  <si>
    <t>41,39Acad</t>
  </si>
  <si>
    <t>43,42, 39,38 Acad</t>
  </si>
  <si>
    <t>42,41,40,39 Aux</t>
  </si>
  <si>
    <t xml:space="preserve">       UMCES Facilities Renewal (Academic) </t>
  </si>
  <si>
    <t>2022 Series A Bonds</t>
  </si>
  <si>
    <t>42nd Amendment</t>
  </si>
  <si>
    <t>Facilities Renewal Projects - charge as Auxillary</t>
  </si>
  <si>
    <t>revised</t>
  </si>
  <si>
    <t>UMB Facilities Renewal Projs -42nd Amendments</t>
  </si>
  <si>
    <t>new</t>
  </si>
  <si>
    <t>University System of Maryland</t>
  </si>
  <si>
    <t>Distribution of Debt Services</t>
  </si>
  <si>
    <t>2021 Series A Bond Funded Projects</t>
  </si>
  <si>
    <t>42nd Amendment Bond - UMB Facilities Renewal Projects (move from 10-years to 20-years bond and charge as auxillary projects)</t>
  </si>
  <si>
    <t>Charge as Auxillary</t>
  </si>
  <si>
    <t>Reduce Acad Amount:</t>
  </si>
  <si>
    <t>UMB Facilities Renewal Projs-Acad Adjustment 10 yrs</t>
  </si>
  <si>
    <t>revised - exclude 42nd Amendment</t>
  </si>
  <si>
    <t>original - include 42nd Amendment &amp; regular</t>
  </si>
  <si>
    <t>10 years - acad</t>
  </si>
  <si>
    <t>original</t>
  </si>
  <si>
    <t>change it to 20 years</t>
  </si>
  <si>
    <t>acad</t>
  </si>
  <si>
    <t>aux</t>
  </si>
  <si>
    <t>remain 10 years as acad</t>
  </si>
  <si>
    <t>return to acad</t>
  </si>
  <si>
    <t>charge</t>
  </si>
  <si>
    <r>
      <t xml:space="preserve">UMB Facilities Renewal </t>
    </r>
    <r>
      <rPr>
        <sz val="10"/>
        <color rgb="FFFF0000"/>
        <rFont val="Arial"/>
        <family val="2"/>
      </rPr>
      <t>42nd Amendment (Aux)</t>
    </r>
  </si>
  <si>
    <t>Chemistry Building Wing 2, 3, 5 - charge as auxilliary</t>
  </si>
  <si>
    <t>Public Policy Building - charge as auxilliary</t>
  </si>
  <si>
    <t>Physics Building - charge as auxilliary</t>
  </si>
  <si>
    <t xml:space="preserve">                 2022A - 10 Year Bond</t>
  </si>
  <si>
    <t>20 Year Bond</t>
  </si>
  <si>
    <t>30 Year Bond</t>
  </si>
  <si>
    <t>10 Year Bond</t>
  </si>
  <si>
    <t xml:space="preserve">      2022A - 30 Year Bond</t>
  </si>
  <si>
    <t xml:space="preserve">      2022A - 20 Year Bond</t>
  </si>
  <si>
    <t xml:space="preserve">      2022A - 10 Year Bond</t>
  </si>
  <si>
    <t>2022A Bond - Total</t>
  </si>
  <si>
    <t xml:space="preserve">         Total Academic Projects - 2022A</t>
  </si>
  <si>
    <t>44,43 Acad</t>
  </si>
  <si>
    <t>44, 42 Acad</t>
  </si>
  <si>
    <t>44,43,42,41,40,39,38,37 Acad</t>
  </si>
  <si>
    <t xml:space="preserve">Please don't </t>
  </si>
  <si>
    <t xml:space="preserve">delete </t>
  </si>
  <si>
    <t>As of 3/13/23</t>
  </si>
  <si>
    <t>Project Name</t>
  </si>
  <si>
    <t>Original</t>
  </si>
  <si>
    <t>Incr/Decr</t>
  </si>
  <si>
    <t>Allocation USM</t>
  </si>
  <si>
    <t>Paid from</t>
  </si>
  <si>
    <t>Authorization</t>
  </si>
  <si>
    <t>Payment from</t>
  </si>
  <si>
    <t>Balance to be</t>
  </si>
  <si>
    <t>FY2024</t>
  </si>
  <si>
    <t>FY2023</t>
  </si>
  <si>
    <t>FY2022</t>
  </si>
  <si>
    <t xml:space="preserve">these </t>
  </si>
  <si>
    <t>FY17</t>
  </si>
  <si>
    <t>Emergency</t>
  </si>
  <si>
    <t>Prior Issues</t>
  </si>
  <si>
    <t>from 2022A</t>
  </si>
  <si>
    <t>Plant Fund</t>
  </si>
  <si>
    <t>Excess Proceed</t>
  </si>
  <si>
    <t>System Cash</t>
  </si>
  <si>
    <t>Financed</t>
  </si>
  <si>
    <t>Activity</t>
  </si>
  <si>
    <t>columns</t>
  </si>
  <si>
    <t>2017A</t>
  </si>
  <si>
    <t>ck figure</t>
  </si>
  <si>
    <t>45th Resolution Academic Projects (FY2024) - BOD 06/07/23</t>
  </si>
  <si>
    <t>36th Resolution Academic Projects (FY2015) - BOD 6/19/14</t>
  </si>
  <si>
    <t>UMCP Infrastructure Project</t>
  </si>
  <si>
    <t>Not-FR</t>
  </si>
  <si>
    <t>USM Facilities Renewal:</t>
  </si>
  <si>
    <t>UMCP Facilities Renewal</t>
  </si>
  <si>
    <t>UMB Facilities Renewal</t>
  </si>
  <si>
    <t>UMES Facilities Renewal</t>
  </si>
  <si>
    <t>UMBC Facilities Renewal</t>
  </si>
  <si>
    <t>UMCES Facilities Renewal</t>
  </si>
  <si>
    <t>BSU Facilities Renewal</t>
  </si>
  <si>
    <t>CSU Facilities Renewal</t>
  </si>
  <si>
    <t>FSU Facilities Renewal</t>
  </si>
  <si>
    <t>SU Facilities Renewal</t>
  </si>
  <si>
    <t>TU Facilities Renewal</t>
  </si>
  <si>
    <t>UB Facilities Renewal</t>
  </si>
  <si>
    <t>USG Campus Building Improvement</t>
  </si>
  <si>
    <t>USM-H Building/System Improvement</t>
  </si>
  <si>
    <t>USMSM Building/System Improvement</t>
  </si>
  <si>
    <t>USM Fac Renewal Emergency Fund-unallocated:</t>
  </si>
  <si>
    <t>Subtotal 45th Resolution Academic Projects</t>
  </si>
  <si>
    <t>Subtotal 36th Resolution Academic Projects</t>
  </si>
  <si>
    <t>44th Resolution Academic Projects (FY2023) - BOD 06/09/22</t>
  </si>
  <si>
    <t>UMES Campus Flood Mitigation Project</t>
  </si>
  <si>
    <t>USG Campus Wide Capital Facilities Renewal</t>
  </si>
  <si>
    <t>USM-H Campus Wide Capital Facilities Renewal</t>
  </si>
  <si>
    <t>USMSM Campus Wide Capital Facilities Renewal</t>
  </si>
  <si>
    <t>Subtotal 44th Resolution Academic Projects</t>
  </si>
  <si>
    <t>43rd Resolution Academic Projects (FY2022) - BOD 06/17/21</t>
  </si>
  <si>
    <t xml:space="preserve">SU Facilities Renewal </t>
  </si>
  <si>
    <t>Subtotal 43rd Resolution Academic Projects</t>
  </si>
  <si>
    <r>
      <t xml:space="preserve">42nd Resolution </t>
    </r>
    <r>
      <rPr>
        <b/>
        <sz val="10"/>
        <color rgb="FFFF0000"/>
        <rFont val="Arial"/>
        <family val="2"/>
      </rPr>
      <t>Amendment</t>
    </r>
    <r>
      <rPr>
        <b/>
        <sz val="10"/>
        <rFont val="Arial"/>
        <family val="2"/>
      </rPr>
      <t xml:space="preserve"> Academic Projects (FY2021) - BOD 11/13/20</t>
    </r>
  </si>
  <si>
    <t>UMCP Chemistry Building Wing 2,3,5</t>
  </si>
  <si>
    <t>UMCP Public Policy Building</t>
  </si>
  <si>
    <t>UMCP Physics Building</t>
  </si>
  <si>
    <t>USG/UMB School of Nursing</t>
  </si>
  <si>
    <t>Subtotal 42nd Amendment Resolution Academic Projects</t>
  </si>
  <si>
    <t>42nd Resolution Academic Projects (FY2021) - BOD 06/10/20</t>
  </si>
  <si>
    <t>UMCP Campuswide Building and Infrastructure</t>
  </si>
  <si>
    <t>UMES Flood Mitigation</t>
  </si>
  <si>
    <t>FSU Education &amp; Health Sciences</t>
  </si>
  <si>
    <t>Subtotal 42nd Resolution Academic Projects</t>
  </si>
  <si>
    <t>41st Resolution Academic Projects (FY2020) - BOD 06/21/19</t>
  </si>
  <si>
    <t>UMES Pharmacy and Health Professions</t>
  </si>
  <si>
    <t>UMBC Utility Upgrades</t>
  </si>
  <si>
    <t>USM S.MD Higher Education Center Building III</t>
  </si>
  <si>
    <t>TU New Science Facility</t>
  </si>
  <si>
    <t>UMES Nature Gas Projects</t>
  </si>
  <si>
    <t>USG Service Center and Nursing</t>
  </si>
  <si>
    <t>Subtotal 41st Resolution Academic Projects</t>
  </si>
  <si>
    <t>40th Resolution Academic Projects (FY2019) - BOD 06/22/18</t>
  </si>
  <si>
    <t>UMBC Interdisciplinary Life Science Building</t>
  </si>
  <si>
    <t>Acad</t>
  </si>
  <si>
    <t>FR</t>
  </si>
  <si>
    <t>UMCP Chiller Replacement</t>
  </si>
  <si>
    <t>USMSM Concrete Replacement</t>
  </si>
  <si>
    <t>UMES Gas Conversion Project</t>
  </si>
  <si>
    <t>USG Building 2 Interior Renovations</t>
  </si>
  <si>
    <t>Subtotal 40th Resolution Academic Projects</t>
  </si>
  <si>
    <t>39th Resolution Academic Projects (FY2018) - BOD 06/08/17</t>
  </si>
  <si>
    <t>UMCP New Bioengineering Building</t>
  </si>
  <si>
    <t>UMCP Brendan Iribe Center for Computer Science</t>
  </si>
  <si>
    <t>UMES Trigg Hall Small Animal Facility Renov</t>
  </si>
  <si>
    <t>Subtotal 39th Resolution Academic Projects</t>
  </si>
  <si>
    <t>38th Resolution Academic Projects (FY2017) - BOD 06/10/16</t>
  </si>
  <si>
    <t>Subtotal 38th Resolution Academic Projects</t>
  </si>
  <si>
    <t>37th Resolution Academic Projects (FY2016) - BOD 06/11/15</t>
  </si>
  <si>
    <t>UMCP Campuswide Building System and Infrastructure Improvements</t>
  </si>
  <si>
    <t>SU New Academic Commons</t>
  </si>
  <si>
    <t xml:space="preserve">CSU 15KV Feeder Replacement </t>
  </si>
  <si>
    <t>Subtotal 37th Resolution Academic Projects</t>
  </si>
  <si>
    <t>UMCP Campus-Wide Building System and Infrastructure</t>
  </si>
  <si>
    <t>UMCP H.J. Patterson Hall - Wing 1 Renov.</t>
  </si>
  <si>
    <t>LS</t>
  </si>
  <si>
    <t>CSU JWJ Auditorium Scope of Work</t>
  </si>
  <si>
    <t>UMCES Beaven Hall Repair</t>
  </si>
  <si>
    <t>UMCP Elkins Building Foundation Repair</t>
  </si>
  <si>
    <t>35th Resolution Academic Projects (FY2014) - BOD 6/21/13</t>
  </si>
  <si>
    <t>CSU New Science and Technology Center</t>
  </si>
  <si>
    <t>UMES Engineering &amp; Mapping study for flood protection</t>
  </si>
  <si>
    <t>Subtotal 35th Resolution Academic Projects</t>
  </si>
  <si>
    <t>34th Resolution Academic Projects (FY2013) - BOD 6/22/12</t>
  </si>
  <si>
    <t>UMCP Campus-Wide Building System and Infrastructure Improvements</t>
  </si>
  <si>
    <t>UMBC Renovation, electrical upgrade, HVAC and life safety improvements, ultiple buildings</t>
  </si>
  <si>
    <t>Subtotal 34th Resolution Academic Projects</t>
  </si>
  <si>
    <t>33rd Resolution Academic Projects (FY2012)</t>
  </si>
  <si>
    <t>UMBC New Performing Arts &amp; Humanities Facility</t>
  </si>
  <si>
    <t>UMB Fire Alarm Emergency</t>
  </si>
  <si>
    <t>UMBC Renovation, electrical upgrade, HVAC…etc</t>
  </si>
  <si>
    <t>UMCES Bulkhead Rehabilitation</t>
  </si>
  <si>
    <t>UMCES Shorline Restoration</t>
  </si>
  <si>
    <t>CSU Electrical Utility Repairs</t>
  </si>
  <si>
    <t>Subtotal 33rd Resolution Academic Projects</t>
  </si>
  <si>
    <t>32nd Resolution Academic Projects (FY2011)</t>
  </si>
  <si>
    <t>TU New College of Liberal Arts</t>
  </si>
  <si>
    <t>UMB Medical School Teaching Facility Upgrades</t>
  </si>
  <si>
    <t>UMCES MDE AREL Oil Spill Replacement</t>
  </si>
  <si>
    <t>UMCES MD Center for Environmental Science - Horn Point</t>
  </si>
  <si>
    <t>Subtotal 32nd Resolution Academic Projects</t>
  </si>
  <si>
    <t>29th Resolution Academic Projects (FY2010)</t>
  </si>
  <si>
    <t>BSU Fine and Performing Arts Center</t>
  </si>
  <si>
    <t>TU College of Liberal Arts Complex</t>
  </si>
  <si>
    <t>UMBI Facilities Renewal</t>
  </si>
  <si>
    <t>UMCP Emergency - MAES Fuel Tanks.</t>
  </si>
  <si>
    <t>BSU Emergency Project - McKeldin Facility</t>
  </si>
  <si>
    <t>CSU Connor Building Renovation</t>
  </si>
  <si>
    <t>CSU Strom Drainage Design for Talon Center</t>
  </si>
  <si>
    <t>FSU Frampton Hall Roof Replacement</t>
  </si>
  <si>
    <t>FSU Performing Arts Center Lighting Upgrade for Energy Efficiency</t>
  </si>
  <si>
    <t>Subtotal 29th Resolution Academic Projects</t>
  </si>
  <si>
    <t>Total of Academic Projects</t>
  </si>
  <si>
    <t>Total Acad</t>
  </si>
  <si>
    <t>45th Resolution Auxiliary Projects approved 06/07/23 (FY2024)</t>
  </si>
  <si>
    <t xml:space="preserve">UMCP S Campus Housing Utility and Infrstrasture </t>
  </si>
  <si>
    <t>TU 401 Washington Renovation</t>
  </si>
  <si>
    <t>Subtotal 45th Resol Auxiliary Projects</t>
  </si>
  <si>
    <t>Subtotal 36th Resolution Auxiliary Projects</t>
  </si>
  <si>
    <t>44th Resolution Auxiliary Projects approved 06/09/22 (FY2023)</t>
  </si>
  <si>
    <t>UMCP High Rise Residence Halls Renovation PH</t>
  </si>
  <si>
    <t>TU Glen Towers Addition and Renovation</t>
  </si>
  <si>
    <t>Subtotal 44th Resol Auxiliary Projects</t>
  </si>
  <si>
    <r>
      <t xml:space="preserve">43rd Resolution </t>
    </r>
    <r>
      <rPr>
        <b/>
        <sz val="10"/>
        <color rgb="FFFF0000"/>
        <rFont val="Arial"/>
        <family val="2"/>
      </rPr>
      <t>Amendments</t>
    </r>
    <r>
      <rPr>
        <b/>
        <sz val="10"/>
        <rFont val="Arial"/>
        <family val="2"/>
      </rPr>
      <t xml:space="preserve"> Auxiliary Projects approved 11/12/21 (FY2022)</t>
    </r>
  </si>
  <si>
    <t>UMES Natural Gas Conversion</t>
  </si>
  <si>
    <t>TU University Union Expansion and Renovation</t>
  </si>
  <si>
    <t>Subtotal 43rd Resol Amendments Auxiliary Projects</t>
  </si>
  <si>
    <t>43rd Resolution Auxiliary Projects approved 06/17/21 (FY2022)</t>
  </si>
  <si>
    <t>UMB Saratoga Garage Structural &amp; Building System Repairs</t>
  </si>
  <si>
    <t>FSU Residence Hall Renovations</t>
  </si>
  <si>
    <t>TU Glen Towers Addition and Renovations</t>
  </si>
  <si>
    <t>Subtotal 43rd Auxiliary Projects</t>
  </si>
  <si>
    <r>
      <t xml:space="preserve">42nd Resolution </t>
    </r>
    <r>
      <rPr>
        <b/>
        <sz val="10"/>
        <color indexed="10"/>
        <rFont val="Arial"/>
        <family val="2"/>
        <charset val="204"/>
      </rPr>
      <t>Amendments</t>
    </r>
    <r>
      <rPr>
        <b/>
        <sz val="10"/>
        <rFont val="Arial"/>
        <family val="2"/>
      </rPr>
      <t xml:space="preserve"> Auxiliary Projects approved 11/13/20 (FY21)</t>
    </r>
  </si>
  <si>
    <t>UMCP North Campus Dining Hall</t>
  </si>
  <si>
    <t>UMCP New Residence Hall</t>
  </si>
  <si>
    <t>Subtotal 42nd Resol Amendments Auxiliary Projects</t>
  </si>
  <si>
    <t>42nd Resolution Auxiliary Projects approved 06/10/20 (FY2021)</t>
  </si>
  <si>
    <t>UMCP Two New Residence Halls</t>
  </si>
  <si>
    <t>UMCP North Campus Dining Hall Replacement</t>
  </si>
  <si>
    <t>UMBC Retriever Activities Center Renewal</t>
  </si>
  <si>
    <t>TU Union Addition/Renovation</t>
  </si>
  <si>
    <t>Subtotal 42nd Resolution Auxiliary Projects</t>
  </si>
  <si>
    <r>
      <t xml:space="preserve">41st Resolution </t>
    </r>
    <r>
      <rPr>
        <b/>
        <sz val="10"/>
        <color indexed="10"/>
        <rFont val="Arial"/>
        <family val="2"/>
        <charset val="204"/>
      </rPr>
      <t>Amendments</t>
    </r>
    <r>
      <rPr>
        <b/>
        <sz val="10"/>
        <rFont val="Arial"/>
        <family val="2"/>
      </rPr>
      <t xml:space="preserve"> Auxiliary Projects approved 9/20 and 11/22/19 (FY2020)</t>
    </r>
  </si>
  <si>
    <t>UMBC New Health Services and Counseling Building</t>
  </si>
  <si>
    <t>SU Real Property Acquisition &amp; New Housing Complex</t>
  </si>
  <si>
    <t>Subtotal 41st Resol Amendments Auxiliary Projects</t>
  </si>
  <si>
    <t>41st Resolution Auxiliary Projects approved June 21, 2019 (FY2020)</t>
  </si>
  <si>
    <t>UMCP N. Campus Dining  Hall Replacement</t>
  </si>
  <si>
    <t>Aux</t>
  </si>
  <si>
    <t>UMCP High Rise Residence halls Renovation</t>
  </si>
  <si>
    <t>FSU New Residence Hall</t>
  </si>
  <si>
    <t>FSU Five Dorm Renovation</t>
  </si>
  <si>
    <t>Subtotal 41st Resolution Auxiliary Projects</t>
  </si>
  <si>
    <t>40th Resolution Auxiliary Projects approved June 22, 2018 (FY2019)</t>
  </si>
  <si>
    <t>UMCP N. Campus Dining Hall Replacement</t>
  </si>
  <si>
    <t>UMCP Rossborough Lane Parking Garage</t>
  </si>
  <si>
    <t>Subtotal 40th Resolution Auxiliary Projects</t>
  </si>
  <si>
    <t>39th Resolution Auxiliary Projects approved June 08, 2017 (FY2018)</t>
  </si>
  <si>
    <t>UMBC Event Center and Arena</t>
  </si>
  <si>
    <t>SU Guerrieri University Center Renovation</t>
  </si>
  <si>
    <t>TU Residence Tower Renovation</t>
  </si>
  <si>
    <t>Subtotal 39th Resolution Auxiliary Projects</t>
  </si>
  <si>
    <t>38th Resolution Auxiliary Projects approved June 10,2016 (FY2017)</t>
  </si>
  <si>
    <t>UMCP Dorchester Residence Hall Renovation</t>
  </si>
  <si>
    <t>Subtotal 38th Resolution Auxiliary Projects</t>
  </si>
  <si>
    <t>37th Resolution Auxiliary Projects approved June 11,2015 (FY2016)</t>
  </si>
  <si>
    <t>UMES Nuttle Hall Residence Renovation</t>
  </si>
  <si>
    <t>UMBC Residence Hall Renovations/Additions</t>
  </si>
  <si>
    <t>TU Recreation Bldg. Burdick Exp Ph 2</t>
  </si>
  <si>
    <t>TU West Village Housing, PH 3 &amp; 4 (700 beds)</t>
  </si>
  <si>
    <t>Subtotal 37th Resolution Auxiliary Projects</t>
  </si>
  <si>
    <t>Total of Auxiliary Projects</t>
  </si>
  <si>
    <t>Total Aux</t>
  </si>
  <si>
    <t>Cost of Issue</t>
  </si>
  <si>
    <t>LX-COI</t>
  </si>
  <si>
    <t>Total 2022A</t>
  </si>
  <si>
    <t>Total 2014A</t>
  </si>
  <si>
    <t>Total 2022A - New Money</t>
  </si>
  <si>
    <t>Remaining Project Amount for 2022A</t>
  </si>
  <si>
    <t>Cert#01</t>
  </si>
  <si>
    <t>E-54</t>
  </si>
  <si>
    <t>10 Year Bonds - Facility Renewal Projects</t>
  </si>
  <si>
    <t>20 Year Bonds - Regular Bond Projects</t>
  </si>
  <si>
    <t>Cert#02</t>
  </si>
  <si>
    <t>E-55</t>
  </si>
  <si>
    <t>30 Year Bonds - Housing Projects</t>
  </si>
  <si>
    <t>Cert#03</t>
  </si>
  <si>
    <t>Total Expenditures for 10 Years Bonds</t>
  </si>
  <si>
    <t>Total Expenditures for 20 Years Bonds</t>
  </si>
  <si>
    <t>Cert#04</t>
  </si>
  <si>
    <t>Total Expenditures for 30 Years Bonds</t>
  </si>
  <si>
    <t>Cert#05</t>
  </si>
  <si>
    <t>2021A as of 12/30/22</t>
  </si>
  <si>
    <t xml:space="preserve">        $ 11,468,681.60</t>
  </si>
  <si>
    <t>2022A as of 12/30/22</t>
  </si>
  <si>
    <t>       $ 43,680,859.84</t>
  </si>
  <si>
    <t>Cert#06</t>
  </si>
  <si>
    <t>Cert #07</t>
  </si>
  <si>
    <t>Cert #08</t>
  </si>
  <si>
    <t>Cert #09</t>
  </si>
  <si>
    <t>Cert #10</t>
  </si>
  <si>
    <t>Cert #11</t>
  </si>
  <si>
    <t>Cert #12</t>
  </si>
  <si>
    <t>Cert #13</t>
  </si>
  <si>
    <t>Cert #14</t>
  </si>
  <si>
    <t>Cert #15</t>
  </si>
  <si>
    <t>Cert #16</t>
  </si>
  <si>
    <t>Cert #17</t>
  </si>
  <si>
    <t>Cert #18</t>
  </si>
  <si>
    <t>Cert #19</t>
  </si>
  <si>
    <t>Cert #20</t>
  </si>
  <si>
    <t>Cert #21</t>
  </si>
  <si>
    <t>Cert #22</t>
  </si>
  <si>
    <t>Cert #23</t>
  </si>
  <si>
    <t>Cert #24</t>
  </si>
  <si>
    <t>Cert #25</t>
  </si>
  <si>
    <t>Cert #26</t>
  </si>
  <si>
    <t>Cert #27</t>
  </si>
  <si>
    <t>Cert #28</t>
  </si>
  <si>
    <t>2021A 20 year bonds</t>
  </si>
  <si>
    <t>Cert #29</t>
  </si>
  <si>
    <t>Cert #30</t>
  </si>
  <si>
    <t>Cert #31</t>
  </si>
  <si>
    <t>Cert #32</t>
  </si>
  <si>
    <t>Correction</t>
  </si>
  <si>
    <t>Cert #33</t>
  </si>
  <si>
    <t>Cert #34</t>
  </si>
  <si>
    <t>Cert #35</t>
  </si>
  <si>
    <t>Cert #36</t>
  </si>
  <si>
    <t>Cert #37</t>
  </si>
  <si>
    <t>Cert #38</t>
  </si>
  <si>
    <t>Cert #39</t>
  </si>
  <si>
    <t>Cert #40</t>
  </si>
  <si>
    <t>Cert #41</t>
  </si>
  <si>
    <t>Cert #42</t>
  </si>
  <si>
    <t>Cert #43</t>
  </si>
  <si>
    <t>Cert #44</t>
  </si>
  <si>
    <t>Cert #45</t>
  </si>
  <si>
    <t>Cert #46</t>
  </si>
  <si>
    <t>Cert #47</t>
  </si>
  <si>
    <t>Cert #48</t>
  </si>
  <si>
    <t>Cert #49</t>
  </si>
  <si>
    <t xml:space="preserve">Correction BSU FR 39th </t>
  </si>
  <si>
    <t>Cert #50</t>
  </si>
  <si>
    <t>Refund</t>
  </si>
  <si>
    <t>Cert #51</t>
  </si>
  <si>
    <t>Cert #52</t>
  </si>
  <si>
    <t>Cert #53</t>
  </si>
  <si>
    <t>Cert #54</t>
  </si>
  <si>
    <t>Cert #55</t>
  </si>
  <si>
    <t>Cert #56</t>
  </si>
  <si>
    <t>Cert #57</t>
  </si>
  <si>
    <t>Cert #58</t>
  </si>
  <si>
    <t>Cert #59</t>
  </si>
  <si>
    <t>Cert #60</t>
  </si>
  <si>
    <t>Cert #61</t>
  </si>
  <si>
    <t>Cert#62</t>
  </si>
  <si>
    <t>Cert#63</t>
  </si>
  <si>
    <r>
      <t xml:space="preserve">Remaining project amount for 2022A </t>
    </r>
    <r>
      <rPr>
        <b/>
        <u/>
        <sz val="10"/>
        <rFont val="Arial"/>
        <family val="2"/>
      </rPr>
      <t>Spreadsheet</t>
    </r>
    <r>
      <rPr>
        <sz val="10"/>
        <rFont val="Arial"/>
        <family val="2"/>
      </rPr>
      <t xml:space="preserve"> after last certificate</t>
    </r>
  </si>
  <si>
    <t>Use 30-yr debt</t>
  </si>
  <si>
    <r>
      <t xml:space="preserve">UMCP </t>
    </r>
    <r>
      <rPr>
        <b/>
        <sz val="9"/>
        <rFont val="Segoe UI"/>
        <family val="2"/>
      </rPr>
      <t xml:space="preserve">North Campus Dining Hall </t>
    </r>
    <r>
      <rPr>
        <sz val="9"/>
        <rFont val="Segoe UI"/>
        <family val="2"/>
      </rPr>
      <t xml:space="preserve">42nd &amp; 42nd amnd </t>
    </r>
  </si>
  <si>
    <r>
      <t xml:space="preserve">UMCP </t>
    </r>
    <r>
      <rPr>
        <b/>
        <sz val="9"/>
        <rFont val="Segoe UI"/>
        <family val="2"/>
      </rPr>
      <t>Two New Residence Halls</t>
    </r>
    <r>
      <rPr>
        <sz val="9"/>
        <rFont val="Segoe UI"/>
        <family val="2"/>
      </rPr>
      <t xml:space="preserve"> 41st, 42nd &amp; 42nd amnd</t>
    </r>
  </si>
  <si>
    <t>Reconcile between 2021A and 2022A 5/31/23</t>
  </si>
  <si>
    <t>2022A Balance to be Financed 5/31/23</t>
  </si>
  <si>
    <t>2021A Balance to be Financed 5/17/23</t>
  </si>
  <si>
    <t>Cert 56 57 (2022A)</t>
  </si>
  <si>
    <t>Variance</t>
  </si>
  <si>
    <t>2022A: paid from 2022A</t>
  </si>
  <si>
    <t>2021A: paid from 2022A (including system cash)</t>
  </si>
  <si>
    <t>2022A: cert 56 57</t>
  </si>
  <si>
    <t>variance</t>
  </si>
  <si>
    <t>10-year FR</t>
  </si>
  <si>
    <t>20-year Acad</t>
  </si>
  <si>
    <r>
      <rPr>
        <b/>
        <sz val="10"/>
        <color rgb="FF0070C0"/>
        <rFont val="Arial"/>
        <family val="2"/>
      </rPr>
      <t>Glen Towers</t>
    </r>
    <r>
      <rPr>
        <sz val="10"/>
        <rFont val="Arial"/>
        <family val="2"/>
      </rPr>
      <t xml:space="preserve"> Addition &amp; Renovation</t>
    </r>
  </si>
  <si>
    <r>
      <rPr>
        <b/>
        <sz val="10"/>
        <color rgb="FF0070C0"/>
        <rFont val="Arial"/>
        <family val="2"/>
      </rPr>
      <t>Union</t>
    </r>
    <r>
      <rPr>
        <sz val="10"/>
        <rFont val="Arial"/>
        <family val="2"/>
      </rPr>
      <t xml:space="preserve"> Addition/Renovation</t>
    </r>
  </si>
  <si>
    <r>
      <rPr>
        <b/>
        <sz val="10"/>
        <color rgb="FF0070C0"/>
        <rFont val="Arial"/>
        <family val="2"/>
      </rPr>
      <t>Residence Towe</t>
    </r>
    <r>
      <rPr>
        <sz val="10"/>
        <rFont val="Arial"/>
        <family val="2"/>
      </rPr>
      <t>r Renovation</t>
    </r>
  </si>
  <si>
    <t>41 Aux</t>
  </si>
  <si>
    <t>20-year FR (acad)</t>
  </si>
  <si>
    <t>30-year Aux</t>
  </si>
  <si>
    <t xml:space="preserve">20-year Aux </t>
  </si>
  <si>
    <t xml:space="preserve">         Total Facilities Renewal - 2022A (20 yr)</t>
  </si>
  <si>
    <t>FR Using 10-Year Bond</t>
  </si>
  <si>
    <t>USM-USG Emergency</t>
  </si>
  <si>
    <t>44th</t>
  </si>
  <si>
    <t>43th</t>
  </si>
  <si>
    <t>42th</t>
  </si>
  <si>
    <t>41st</t>
  </si>
  <si>
    <t>40th</t>
  </si>
  <si>
    <t>39th</t>
  </si>
  <si>
    <t>38th</t>
  </si>
  <si>
    <t>37th</t>
  </si>
  <si>
    <t>36th</t>
  </si>
  <si>
    <t>35th</t>
  </si>
  <si>
    <t>34th</t>
  </si>
  <si>
    <t>33rd</t>
  </si>
  <si>
    <t>32nd</t>
  </si>
  <si>
    <t>29th</t>
  </si>
  <si>
    <t>35th 43rd Aux</t>
  </si>
  <si>
    <t>Cert#64</t>
  </si>
  <si>
    <t>Stop payment for 2 lost checks</t>
  </si>
  <si>
    <t>Stop payments for 2 lost checks issued for Murphy and Dittenhafer from UMBC 43rd FR</t>
  </si>
  <si>
    <t>Cert#65</t>
  </si>
  <si>
    <t>Reissue checks for Murphy and Dittenhafer, originally processed through 2021A Cert#106/2022A Cert#52</t>
  </si>
  <si>
    <t>Cert#66</t>
  </si>
  <si>
    <t>8-14-2023</t>
  </si>
  <si>
    <t>c</t>
  </si>
  <si>
    <t>USM - available balance is zero</t>
  </si>
  <si>
    <t>USMSM Building #1 Roof Replacement</t>
  </si>
  <si>
    <t>USM-H Facilities Renewal FY17-23</t>
  </si>
  <si>
    <t>not in bond report</t>
  </si>
  <si>
    <t>45,44,43 Acad</t>
  </si>
  <si>
    <t>45,44,43,42,41,40,39,38,37,36,35,34,33,32,29 Acad</t>
  </si>
  <si>
    <t>44,43,42,40,39 Acad</t>
  </si>
  <si>
    <t>45,44,43,42,41,40 Acad</t>
  </si>
  <si>
    <t>44,43,42,41,39,38 Acad</t>
  </si>
  <si>
    <t>44,43,42 Acad</t>
  </si>
  <si>
    <t>45,44,43,42,41,40,39,38,37 Acad</t>
  </si>
  <si>
    <t>43,42,41,40 Acad</t>
  </si>
  <si>
    <t>43,42,41,40,39,38 Acad</t>
  </si>
  <si>
    <t>44,43,42,41,39Acad</t>
  </si>
  <si>
    <t>UMCP High Rise Residence Halls Renovation</t>
  </si>
  <si>
    <t>new- added to formula</t>
  </si>
  <si>
    <t>UMB/USMO</t>
  </si>
  <si>
    <t>UMB early payoff</t>
  </si>
  <si>
    <t>UMB paid off the loan to USM</t>
  </si>
  <si>
    <t>Aux + Acad</t>
  </si>
  <si>
    <t>UMCP High Rise Residence Halls  (Aux)</t>
  </si>
  <si>
    <t>Done</t>
  </si>
  <si>
    <t>E-56</t>
  </si>
  <si>
    <t>Stop payments for lost check issued for Murphy and Dittenhafer from UMBC 43rd FR</t>
  </si>
  <si>
    <t>Reissue check for Murphy and Dittenhafer, originally processed through 2022A Cert#52</t>
  </si>
  <si>
    <t>Cert#67</t>
  </si>
  <si>
    <t>Cert#68</t>
  </si>
  <si>
    <t>Cert#69</t>
  </si>
  <si>
    <t>Cert#70</t>
  </si>
  <si>
    <t>Cert#71</t>
  </si>
  <si>
    <t>Cert#72</t>
  </si>
  <si>
    <t>Cert#73</t>
  </si>
  <si>
    <t>cert #73- duplicate pymt (BSU)</t>
  </si>
  <si>
    <t>Cert#74</t>
  </si>
  <si>
    <t>Cert#75</t>
  </si>
  <si>
    <t>.</t>
  </si>
  <si>
    <t>Cert#76</t>
  </si>
  <si>
    <t>Cert#77</t>
  </si>
  <si>
    <t>Cert#78</t>
  </si>
  <si>
    <t>Cert#79</t>
  </si>
  <si>
    <t>Cert#80</t>
  </si>
  <si>
    <t>Cert#81</t>
  </si>
  <si>
    <t xml:space="preserve">Correction </t>
  </si>
  <si>
    <t>cert#76- duplicate pymt (UMB)</t>
  </si>
  <si>
    <t>cert#74- duplicate pymt (FSU)</t>
  </si>
  <si>
    <t>Cert#82</t>
  </si>
  <si>
    <t>Cert#83</t>
  </si>
  <si>
    <t>Stop Payment</t>
  </si>
  <si>
    <t>Cert#84</t>
  </si>
  <si>
    <t>Cert#85</t>
  </si>
  <si>
    <t>Cert#87</t>
  </si>
  <si>
    <t>Cert#86</t>
  </si>
  <si>
    <t>Cert#88</t>
  </si>
  <si>
    <t>Cert#89</t>
  </si>
  <si>
    <t>Cert#90</t>
  </si>
  <si>
    <t>Cert#91</t>
  </si>
  <si>
    <t>Cert#92</t>
  </si>
  <si>
    <t>Cert#93</t>
  </si>
  <si>
    <t>Cert#94</t>
  </si>
  <si>
    <t>Cert#95</t>
  </si>
  <si>
    <t>Cert#96</t>
  </si>
  <si>
    <t>Cert#97</t>
  </si>
  <si>
    <t>Cert#98</t>
  </si>
  <si>
    <t>Cert#99</t>
  </si>
  <si>
    <t>Check balance when posting transactions (Column L)</t>
  </si>
  <si>
    <t>Check with institutions if the remittance or invoice amount are different between memo and invoice</t>
  </si>
  <si>
    <t>Include both cover sheet memo and invoices in the certificate</t>
  </si>
  <si>
    <t>Put note on invoice for split payments</t>
  </si>
  <si>
    <t>Monitor 2022A remaining balance (Check with Samantha or Cindy)</t>
  </si>
  <si>
    <t xml:space="preserve">For certificate, use the address on the invoice </t>
  </si>
  <si>
    <r>
      <t xml:space="preserve">Put </t>
    </r>
    <r>
      <rPr>
        <b/>
        <u/>
        <sz val="10"/>
        <rFont val="Arial"/>
        <family val="2"/>
      </rPr>
      <t>Inv#</t>
    </r>
    <r>
      <rPr>
        <sz val="10"/>
        <rFont val="Arial"/>
        <family val="2"/>
      </rPr>
      <t xml:space="preserve"> for both Inv# &amp; App#</t>
    </r>
  </si>
  <si>
    <t>2/14/24</t>
  </si>
  <si>
    <t>44, 45 Aux</t>
  </si>
  <si>
    <r>
      <rPr>
        <b/>
        <sz val="10"/>
        <color rgb="FF0070C0"/>
        <rFont val="Arial"/>
        <family val="2"/>
      </rPr>
      <t>401 Washington</t>
    </r>
    <r>
      <rPr>
        <sz val="10"/>
        <rFont val="Arial"/>
        <family val="2"/>
      </rPr>
      <t xml:space="preserve"> Renovation</t>
    </r>
  </si>
  <si>
    <t>45 Aux</t>
  </si>
  <si>
    <t>S Campus Housing Utility &amp; Infrastructure Upgrade</t>
  </si>
  <si>
    <t>Early Payoff-Complete</t>
  </si>
  <si>
    <t>2,253,426.81-paid from plant funds</t>
  </si>
  <si>
    <t>Nuttle Hall Residence Renovation</t>
  </si>
  <si>
    <t xml:space="preserve">  TU 401 Washington Renovation (Auxiliary)</t>
  </si>
  <si>
    <t>corr from 3-31-24</t>
  </si>
  <si>
    <t>43,42,40,39 Acad</t>
  </si>
  <si>
    <t>44,43,40 Acad</t>
  </si>
  <si>
    <t>45,44,43,42,41,40,39,38 Acad</t>
  </si>
  <si>
    <t>45,44,43,42 Acad</t>
  </si>
  <si>
    <t>43th Acad</t>
  </si>
  <si>
    <t>43,42,41 Acad</t>
  </si>
  <si>
    <t>45,44 Acad</t>
  </si>
  <si>
    <t>44,43,42,41,39 Acad</t>
  </si>
  <si>
    <t>44, 43 Acad</t>
  </si>
  <si>
    <t>43 Acad</t>
  </si>
  <si>
    <t>44,43,42,41,40,39,36 Acad</t>
  </si>
  <si>
    <t>43,41 Aux</t>
  </si>
  <si>
    <t>43 Amend,42,39 Aux</t>
  </si>
  <si>
    <t>44 Aux</t>
  </si>
  <si>
    <t>42, 42nd Amend Aux</t>
  </si>
  <si>
    <t>42nd Amend, 42,41 Aux</t>
  </si>
  <si>
    <t>Fund</t>
  </si>
  <si>
    <t>Category</t>
  </si>
  <si>
    <t>Term</t>
  </si>
  <si>
    <t>Resolution</t>
  </si>
  <si>
    <t>Institution</t>
  </si>
  <si>
    <t>Payment from 2022A</t>
  </si>
  <si>
    <t>Balance to be Financed</t>
  </si>
  <si>
    <t>45th Acad</t>
  </si>
  <si>
    <t>Acad FR</t>
  </si>
  <si>
    <t>10/20</t>
  </si>
  <si>
    <t>USG</t>
  </si>
  <si>
    <t>USM-H</t>
  </si>
  <si>
    <t>USMSM</t>
  </si>
  <si>
    <t>44th Acad</t>
  </si>
  <si>
    <t xml:space="preserve">USMSM </t>
  </si>
  <si>
    <t>42nd Amend Acad</t>
  </si>
  <si>
    <t>USG/UMB</t>
  </si>
  <si>
    <t>39th Acad</t>
  </si>
  <si>
    <t>38th Acad</t>
  </si>
  <si>
    <t>36th Acad</t>
  </si>
  <si>
    <t>35th Acad</t>
  </si>
  <si>
    <t>34th Acad</t>
  </si>
  <si>
    <t>32nd Acad</t>
  </si>
  <si>
    <t>45th Aux</t>
  </si>
  <si>
    <t>44th Aux</t>
  </si>
  <si>
    <t>43rd Amend Aux</t>
  </si>
  <si>
    <t>43rd Aux</t>
  </si>
  <si>
    <t>42nd Amend Aux</t>
  </si>
  <si>
    <t>42nd Aux</t>
  </si>
  <si>
    <t>41st Amend Aux</t>
  </si>
  <si>
    <t>Cert#100</t>
  </si>
  <si>
    <t>Cert#101</t>
  </si>
  <si>
    <t>Cert#102</t>
  </si>
  <si>
    <t>Cert#103</t>
  </si>
  <si>
    <t>Cert#104</t>
  </si>
  <si>
    <t>Cert#105</t>
  </si>
  <si>
    <t>4/19/24</t>
  </si>
  <si>
    <t xml:space="preserve"> 20 Year Bond</t>
  </si>
  <si>
    <t xml:space="preserve">           20 Year Bond including 20-yr FR</t>
  </si>
  <si>
    <t xml:space="preserve">  UMCP Campus-Wide/Infrastructure Proj (Acad)</t>
  </si>
  <si>
    <t>USMO (UMB Early Payoff)</t>
  </si>
  <si>
    <t>Amort of</t>
  </si>
  <si>
    <t>Premium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</si>
</sst>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mm/dd/yy"/>
    <numFmt numFmtId="165" formatCode="0.00000%"/>
    <numFmt numFmtId="166" formatCode="0.0000%"/>
    <numFmt numFmtId="167" formatCode="General_)"/>
    <numFmt numFmtId="168" formatCode="mm/dd/yy;@"/>
    <numFmt numFmtId="169" formatCode="0.00_);[Red]\(0.00\)"/>
    <numFmt numFmtId="170" formatCode="_(* #,##0.0_);_(* \(#,##0.0\);_(* &quot;-&quot;??_);_(@_)"/>
  </numFmts>
  <fonts count="22" x14ac:knownFonts="1">
    <font>
      <sz val="10"/>
      <name val="Arial"/>
    </font>
    <font>
      <sz val="10"/>
      <name val="Arial"/>
      <family val="2"/>
    </font>
    <font>
      <sz val="10"/>
      <color rgb="FFFF0000"/>
      <name val="Arial"/>
      <family val="2"/>
    </font>
    <font>
      <b/>
      <sz val="10"/>
      <name val="Arial"/>
      <family val="2"/>
    </font>
    <font>
      <b/>
      <sz val="11"/>
      <name val="Arial"/>
      <family val="2"/>
    </font>
    <font>
      <sz val="9"/>
      <color indexed="81"/>
      <name val="Tahoma"/>
      <family val="2"/>
    </font>
    <font>
      <b/>
      <sz val="9"/>
      <color indexed="81"/>
      <name val="Tahoma"/>
      <family val="2"/>
    </font>
    <font>
      <sz val="10"/>
      <name val="Arial"/>
      <family val="2"/>
    </font>
    <font>
      <sz val="10"/>
      <color indexed="27"/>
      <name val="Arial"/>
      <family val="2"/>
      <charset val="204"/>
    </font>
    <font>
      <b/>
      <sz val="10"/>
      <color rgb="FFFF0000"/>
      <name val="Arial"/>
      <family val="2"/>
    </font>
    <font>
      <b/>
      <sz val="10"/>
      <color rgb="FFC00000"/>
      <name val="Arial"/>
      <family val="2"/>
    </font>
    <font>
      <b/>
      <sz val="10"/>
      <color indexed="10"/>
      <name val="Arial"/>
      <family val="2"/>
      <charset val="204"/>
    </font>
    <font>
      <sz val="10"/>
      <color theme="9" tint="-0.249977111117893"/>
      <name val="Arial"/>
      <family val="2"/>
    </font>
    <font>
      <b/>
      <u/>
      <sz val="10"/>
      <name val="Arial"/>
      <family val="2"/>
    </font>
    <font>
      <sz val="9"/>
      <name val="Segoe UI"/>
      <family val="2"/>
    </font>
    <font>
      <b/>
      <sz val="9"/>
      <name val="Segoe UI"/>
      <family val="2"/>
    </font>
    <font>
      <strike/>
      <sz val="10"/>
      <color rgb="FFFF0000"/>
      <name val="Arial"/>
      <family val="2"/>
    </font>
    <font>
      <b/>
      <sz val="10"/>
      <color rgb="FF0070C0"/>
      <name val="Arial"/>
      <family val="2"/>
    </font>
    <font>
      <strike/>
      <sz val="10"/>
      <name val="Arial"/>
      <family val="2"/>
    </font>
    <font>
      <b/>
      <strike/>
      <sz val="10"/>
      <name val="Arial"/>
      <family val="2"/>
    </font>
    <font>
      <sz val="9"/>
      <color indexed="81"/>
      <name val="Tahoma"/>
      <charset val="1"/>
    </font>
    <font>
      <b/>
      <sz val="9"/>
      <color indexed="81"/>
      <name val="Tahoma"/>
      <charset val="1"/>
    </font>
  </fonts>
  <fills count="21">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indexed="43"/>
        <bgColor indexed="64"/>
      </patternFill>
    </fill>
    <fill>
      <patternFill patternType="solid">
        <fgColor rgb="FFCCFFCC"/>
        <bgColor indexed="64"/>
      </patternFill>
    </fill>
    <fill>
      <patternFill patternType="solid">
        <fgColor theme="8" tint="0.59999389629810485"/>
        <bgColor indexed="64"/>
      </patternFill>
    </fill>
    <fill>
      <patternFill patternType="solid">
        <fgColor indexed="13"/>
        <bgColor indexed="64"/>
      </patternFill>
    </fill>
    <fill>
      <patternFill patternType="solid">
        <fgColor indexed="46"/>
        <bgColor indexed="64"/>
      </patternFill>
    </fill>
    <fill>
      <patternFill patternType="solid">
        <fgColor rgb="FFFFFF8F"/>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8" tint="0.39997558519241921"/>
        <bgColor indexed="64"/>
      </patternFill>
    </fill>
  </fills>
  <borders count="29">
    <border>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double">
        <color indexed="64"/>
      </bottom>
      <diagonal/>
    </border>
    <border>
      <left/>
      <right/>
      <top/>
      <bottom style="thin">
        <color indexed="64"/>
      </bottom>
      <diagonal/>
    </border>
    <border>
      <left/>
      <right/>
      <top/>
      <bottom style="thick">
        <color indexed="64"/>
      </bottom>
      <diagonal/>
    </border>
    <border>
      <left/>
      <right/>
      <top/>
      <bottom style="medium">
        <color indexed="64"/>
      </bottom>
      <diagonal/>
    </border>
    <border>
      <left/>
      <right style="thin">
        <color indexed="64"/>
      </right>
      <top/>
      <bottom style="thin">
        <color indexed="64"/>
      </bottom>
      <diagonal/>
    </border>
    <border>
      <left style="medium">
        <color auto="1"/>
      </left>
      <right style="medium">
        <color auto="1"/>
      </right>
      <top style="medium">
        <color auto="1"/>
      </top>
      <bottom/>
      <diagonal/>
    </border>
    <border>
      <left style="medium">
        <color auto="1"/>
      </left>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s>
  <cellStyleXfs count="4">
    <xf numFmtId="0" fontId="0" fillId="0" borderId="0"/>
    <xf numFmtId="43" fontId="7" fillId="0" borderId="0" applyFont="0" applyFill="0" applyBorder="0" applyAlignment="0" applyProtection="0"/>
    <xf numFmtId="167" fontId="1" fillId="0" borderId="0"/>
    <xf numFmtId="0" fontId="1" fillId="0" borderId="0"/>
  </cellStyleXfs>
  <cellXfs count="408">
    <xf numFmtId="0" fontId="0" fillId="0" borderId="0" xfId="0"/>
    <xf numFmtId="164" fontId="0" fillId="0" borderId="0" xfId="0" applyNumberFormat="1" applyAlignment="1">
      <alignment horizontal="left"/>
    </xf>
    <xf numFmtId="0" fontId="0" fillId="0" borderId="0" xfId="0" applyAlignment="1">
      <alignment horizontal="left"/>
    </xf>
    <xf numFmtId="38" fontId="0" fillId="0" borderId="0" xfId="0" applyNumberFormat="1" applyAlignment="1">
      <alignment horizontal="right"/>
    </xf>
    <xf numFmtId="38" fontId="0" fillId="0" borderId="0" xfId="0" quotePrefix="1" applyNumberFormat="1" applyAlignment="1">
      <alignment horizontal="left"/>
    </xf>
    <xf numFmtId="38" fontId="0" fillId="0" borderId="0" xfId="0" applyNumberFormat="1"/>
    <xf numFmtId="3" fontId="0" fillId="0" borderId="0" xfId="0" applyNumberFormat="1"/>
    <xf numFmtId="38" fontId="0" fillId="0" borderId="0" xfId="0" applyNumberFormat="1" applyAlignment="1">
      <alignment horizontal="left"/>
    </xf>
    <xf numFmtId="165" fontId="0" fillId="0" borderId="0" xfId="0" applyNumberFormat="1"/>
    <xf numFmtId="164" fontId="0" fillId="0" borderId="1" xfId="0" applyNumberFormat="1" applyBorder="1" applyAlignment="1">
      <alignment horizontal="center"/>
    </xf>
    <xf numFmtId="38" fontId="0" fillId="2" borderId="2" xfId="0" applyNumberFormat="1" applyFill="1" applyBorder="1" applyAlignment="1">
      <alignment horizontal="right"/>
    </xf>
    <xf numFmtId="38" fontId="0" fillId="2" borderId="3" xfId="0" applyNumberFormat="1" applyFill="1" applyBorder="1" applyAlignment="1">
      <alignment horizontal="right"/>
    </xf>
    <xf numFmtId="38" fontId="0" fillId="0" borderId="4" xfId="0" quotePrefix="1" applyNumberFormat="1" applyBorder="1" applyAlignment="1">
      <alignment horizontal="left"/>
    </xf>
    <xf numFmtId="38" fontId="0" fillId="0" borderId="5" xfId="0" applyNumberFormat="1" applyBorder="1" applyAlignment="1">
      <alignment horizontal="right"/>
    </xf>
    <xf numFmtId="38" fontId="0" fillId="0" borderId="3" xfId="0" applyNumberFormat="1" applyBorder="1" applyAlignment="1">
      <alignment horizontal="right"/>
    </xf>
    <xf numFmtId="38" fontId="0" fillId="0" borderId="2" xfId="0" applyNumberFormat="1" applyBorder="1" applyAlignment="1">
      <alignment horizontal="right"/>
    </xf>
    <xf numFmtId="3" fontId="0" fillId="0" borderId="2" xfId="0" applyNumberFormat="1" applyBorder="1"/>
    <xf numFmtId="3" fontId="0" fillId="0" borderId="3" xfId="0" applyNumberFormat="1" applyBorder="1"/>
    <xf numFmtId="3" fontId="0" fillId="0" borderId="4" xfId="0" applyNumberFormat="1" applyBorder="1" applyAlignment="1">
      <alignment horizontal="left"/>
    </xf>
    <xf numFmtId="165" fontId="0" fillId="0" borderId="6" xfId="0" applyNumberFormat="1" applyBorder="1" applyAlignment="1">
      <alignment horizontal="center"/>
    </xf>
    <xf numFmtId="165" fontId="0" fillId="0" borderId="7" xfId="0" applyNumberFormat="1" applyBorder="1"/>
    <xf numFmtId="165" fontId="0" fillId="0" borderId="5" xfId="0" applyNumberFormat="1" applyBorder="1"/>
    <xf numFmtId="165" fontId="0" fillId="0" borderId="3" xfId="0" applyNumberFormat="1" applyBorder="1" applyAlignment="1">
      <alignment horizontal="right"/>
    </xf>
    <xf numFmtId="165" fontId="0" fillId="0" borderId="4" xfId="0" quotePrefix="1" applyNumberFormat="1" applyBorder="1" applyAlignment="1">
      <alignment horizontal="right"/>
    </xf>
    <xf numFmtId="165" fontId="0" fillId="0" borderId="2" xfId="0" applyNumberFormat="1" applyBorder="1"/>
    <xf numFmtId="164" fontId="0" fillId="0" borderId="8" xfId="0" applyNumberFormat="1" applyBorder="1" applyAlignment="1">
      <alignment horizontal="center"/>
    </xf>
    <xf numFmtId="38" fontId="0" fillId="0" borderId="9" xfId="0" applyNumberFormat="1" applyBorder="1" applyAlignment="1">
      <alignment horizontal="center"/>
    </xf>
    <xf numFmtId="3" fontId="0" fillId="0" borderId="9" xfId="0" applyNumberFormat="1" applyBorder="1" applyAlignment="1">
      <alignment horizontal="center"/>
    </xf>
    <xf numFmtId="3" fontId="0" fillId="0" borderId="0" xfId="0" applyNumberFormat="1" applyAlignment="1">
      <alignment horizontal="center"/>
    </xf>
    <xf numFmtId="164" fontId="0" fillId="0" borderId="0" xfId="0" applyNumberFormat="1"/>
    <xf numFmtId="14" fontId="0" fillId="0" borderId="0" xfId="0" applyNumberFormat="1"/>
    <xf numFmtId="164" fontId="0" fillId="0" borderId="0" xfId="0" applyNumberFormat="1" applyAlignment="1">
      <alignment horizontal="center"/>
    </xf>
    <xf numFmtId="38" fontId="0" fillId="0" borderId="10" xfId="0" applyNumberFormat="1" applyBorder="1" applyAlignment="1">
      <alignment horizontal="right"/>
    </xf>
    <xf numFmtId="38" fontId="0" fillId="0" borderId="11" xfId="0" applyNumberFormat="1" applyBorder="1" applyAlignment="1">
      <alignment horizontal="right"/>
    </xf>
    <xf numFmtId="38" fontId="0" fillId="0" borderId="4" xfId="0" applyNumberFormat="1" applyBorder="1" applyAlignment="1">
      <alignment horizontal="left"/>
    </xf>
    <xf numFmtId="165" fontId="0" fillId="0" borderId="7" xfId="0" applyNumberFormat="1" applyBorder="1" applyAlignment="1">
      <alignment horizontal="right"/>
    </xf>
    <xf numFmtId="40" fontId="0" fillId="0" borderId="0" xfId="0" applyNumberFormat="1"/>
    <xf numFmtId="0" fontId="0" fillId="0" borderId="4" xfId="0" applyBorder="1" applyAlignment="1">
      <alignment horizontal="center"/>
    </xf>
    <xf numFmtId="40" fontId="0" fillId="0" borderId="4" xfId="0" applyNumberFormat="1" applyBorder="1" applyAlignment="1">
      <alignment horizontal="center"/>
    </xf>
    <xf numFmtId="165" fontId="0" fillId="0" borderId="1" xfId="0" applyNumberFormat="1" applyBorder="1" applyAlignment="1">
      <alignment horizontal="center"/>
    </xf>
    <xf numFmtId="0" fontId="0" fillId="0" borderId="12" xfId="0" applyBorder="1" applyAlignment="1">
      <alignment horizontal="center"/>
    </xf>
    <xf numFmtId="40" fontId="0" fillId="0" borderId="12" xfId="0" applyNumberFormat="1" applyBorder="1" applyAlignment="1">
      <alignment horizontal="center"/>
    </xf>
    <xf numFmtId="165" fontId="0" fillId="0" borderId="8" xfId="0" applyNumberFormat="1" applyBorder="1" applyAlignment="1">
      <alignment horizontal="center"/>
    </xf>
    <xf numFmtId="0" fontId="0" fillId="0" borderId="0" xfId="0" applyAlignment="1">
      <alignment horizontal="right"/>
    </xf>
    <xf numFmtId="40" fontId="0" fillId="0" borderId="13" xfId="0" applyNumberFormat="1" applyBorder="1" applyAlignment="1">
      <alignment horizontal="right"/>
    </xf>
    <xf numFmtId="165" fontId="0" fillId="0" borderId="13" xfId="0" applyNumberFormat="1" applyBorder="1" applyAlignment="1">
      <alignment horizontal="right"/>
    </xf>
    <xf numFmtId="0" fontId="0" fillId="0" borderId="0" xfId="0" applyAlignment="1">
      <alignment horizontal="center"/>
    </xf>
    <xf numFmtId="40" fontId="0" fillId="0" borderId="0" xfId="0" applyNumberFormat="1" applyAlignment="1">
      <alignment horizontal="center"/>
    </xf>
    <xf numFmtId="40" fontId="0" fillId="0" borderId="0" xfId="0" applyNumberFormat="1" applyAlignment="1">
      <alignment horizontal="right"/>
    </xf>
    <xf numFmtId="40" fontId="0" fillId="0" borderId="14" xfId="0" applyNumberFormat="1" applyBorder="1"/>
    <xf numFmtId="165" fontId="0" fillId="0" borderId="14" xfId="0" applyNumberFormat="1" applyBorder="1"/>
    <xf numFmtId="4" fontId="0" fillId="0" borderId="0" xfId="0" applyNumberFormat="1"/>
    <xf numFmtId="165" fontId="0" fillId="0" borderId="0" xfId="0" quotePrefix="1" applyNumberFormat="1" applyAlignment="1">
      <alignment horizontal="right"/>
    </xf>
    <xf numFmtId="165" fontId="0" fillId="0" borderId="13" xfId="0" applyNumberFormat="1" applyBorder="1"/>
    <xf numFmtId="40" fontId="0" fillId="0" borderId="0" xfId="0" quotePrefix="1" applyNumberFormat="1" applyAlignment="1">
      <alignment horizontal="left"/>
    </xf>
    <xf numFmtId="165" fontId="0" fillId="0" borderId="0" xfId="0" applyNumberFormat="1" applyAlignment="1">
      <alignment horizontal="right"/>
    </xf>
    <xf numFmtId="0" fontId="1" fillId="0" borderId="0" xfId="0" applyFont="1" applyAlignment="1">
      <alignment horizontal="left"/>
    </xf>
    <xf numFmtId="38" fontId="1" fillId="0" borderId="4" xfId="0" applyNumberFormat="1" applyFont="1" applyBorder="1" applyAlignment="1">
      <alignment horizontal="left"/>
    </xf>
    <xf numFmtId="38" fontId="1" fillId="3" borderId="4" xfId="0" quotePrefix="1" applyNumberFormat="1" applyFont="1" applyFill="1" applyBorder="1" applyAlignment="1">
      <alignment horizontal="left"/>
    </xf>
    <xf numFmtId="38" fontId="1" fillId="0" borderId="4" xfId="0" quotePrefix="1" applyNumberFormat="1" applyFont="1" applyBorder="1" applyAlignment="1">
      <alignment horizontal="left"/>
    </xf>
    <xf numFmtId="38" fontId="1" fillId="0" borderId="9" xfId="0" applyNumberFormat="1" applyFont="1" applyBorder="1" applyAlignment="1">
      <alignment horizontal="center"/>
    </xf>
    <xf numFmtId="38" fontId="0" fillId="0" borderId="0" xfId="0" applyNumberFormat="1" applyAlignment="1">
      <alignment horizontal="center"/>
    </xf>
    <xf numFmtId="38" fontId="1" fillId="0" borderId="0" xfId="0" quotePrefix="1" applyNumberFormat="1" applyFont="1" applyAlignment="1">
      <alignment horizontal="left"/>
    </xf>
    <xf numFmtId="38" fontId="1" fillId="2" borderId="4" xfId="0" quotePrefix="1" applyNumberFormat="1" applyFont="1" applyFill="1" applyBorder="1" applyAlignment="1">
      <alignment horizontal="left"/>
    </xf>
    <xf numFmtId="0" fontId="1" fillId="0" borderId="0" xfId="0" quotePrefix="1" applyFont="1" applyAlignment="1">
      <alignment horizontal="left"/>
    </xf>
    <xf numFmtId="38" fontId="0" fillId="0" borderId="2" xfId="0" applyNumberFormat="1" applyBorder="1"/>
    <xf numFmtId="38" fontId="1" fillId="0" borderId="0" xfId="0" applyNumberFormat="1" applyFont="1"/>
    <xf numFmtId="38" fontId="1" fillId="2" borderId="7" xfId="0" quotePrefix="1" applyNumberFormat="1" applyFont="1" applyFill="1" applyBorder="1" applyAlignment="1">
      <alignment horizontal="left"/>
    </xf>
    <xf numFmtId="38" fontId="0" fillId="2" borderId="5" xfId="0" applyNumberFormat="1" applyFill="1" applyBorder="1" applyAlignment="1">
      <alignment horizontal="right"/>
    </xf>
    <xf numFmtId="0" fontId="1" fillId="0" borderId="0" xfId="0" applyFont="1" applyAlignment="1">
      <alignment horizontal="right"/>
    </xf>
    <xf numFmtId="0" fontId="1" fillId="0" borderId="15" xfId="0" applyFont="1" applyBorder="1" applyAlignment="1">
      <alignment horizontal="left"/>
    </xf>
    <xf numFmtId="40" fontId="0" fillId="0" borderId="15" xfId="0" applyNumberFormat="1" applyBorder="1"/>
    <xf numFmtId="40" fontId="0" fillId="0" borderId="15" xfId="0" applyNumberFormat="1" applyBorder="1" applyAlignment="1">
      <alignment horizontal="right"/>
    </xf>
    <xf numFmtId="40" fontId="0" fillId="0" borderId="15" xfId="0" applyNumberFormat="1" applyBorder="1" applyAlignment="1">
      <alignment horizontal="center"/>
    </xf>
    <xf numFmtId="165" fontId="0" fillId="0" borderId="15" xfId="0" applyNumberFormat="1" applyBorder="1"/>
    <xf numFmtId="0" fontId="2" fillId="0" borderId="15" xfId="0" applyFont="1" applyBorder="1" applyAlignment="1">
      <alignment horizontal="left"/>
    </xf>
    <xf numFmtId="0" fontId="1" fillId="0" borderId="14" xfId="0" applyFont="1" applyBorder="1" applyAlignment="1">
      <alignment horizontal="left"/>
    </xf>
    <xf numFmtId="40" fontId="0" fillId="0" borderId="14" xfId="0" applyNumberFormat="1" applyBorder="1" applyAlignment="1">
      <alignment horizontal="right"/>
    </xf>
    <xf numFmtId="40" fontId="0" fillId="0" borderId="14" xfId="0" applyNumberFormat="1" applyBorder="1" applyAlignment="1">
      <alignment horizontal="center"/>
    </xf>
    <xf numFmtId="165" fontId="0" fillId="0" borderId="11" xfId="0" applyNumberFormat="1" applyBorder="1"/>
    <xf numFmtId="40" fontId="0" fillId="0" borderId="13" xfId="0" applyNumberFormat="1" applyBorder="1" applyAlignment="1">
      <alignment horizontal="center"/>
    </xf>
    <xf numFmtId="0" fontId="0" fillId="0" borderId="14" xfId="0" applyBorder="1" applyAlignment="1">
      <alignment horizontal="left"/>
    </xf>
    <xf numFmtId="165" fontId="0" fillId="0" borderId="4" xfId="0" quotePrefix="1" applyNumberFormat="1" applyBorder="1" applyAlignment="1">
      <alignment horizontal="left"/>
    </xf>
    <xf numFmtId="165" fontId="2" fillId="0" borderId="2" xfId="0" applyNumberFormat="1" applyFont="1" applyBorder="1" applyAlignment="1">
      <alignment horizontal="center"/>
    </xf>
    <xf numFmtId="165" fontId="2" fillId="3" borderId="7" xfId="0" quotePrefix="1" applyNumberFormat="1" applyFont="1" applyFill="1" applyBorder="1"/>
    <xf numFmtId="165" fontId="2" fillId="3" borderId="5" xfId="0" applyNumberFormat="1" applyFont="1" applyFill="1" applyBorder="1"/>
    <xf numFmtId="165" fontId="2" fillId="3" borderId="3" xfId="0" applyNumberFormat="1" applyFont="1" applyFill="1" applyBorder="1" applyAlignment="1">
      <alignment horizontal="right"/>
    </xf>
    <xf numFmtId="3" fontId="0" fillId="4" borderId="4" xfId="0" applyNumberFormat="1" applyFill="1" applyBorder="1" applyAlignment="1">
      <alignment horizontal="left"/>
    </xf>
    <xf numFmtId="3" fontId="0" fillId="4" borderId="2" xfId="0" applyNumberFormat="1" applyFill="1" applyBorder="1"/>
    <xf numFmtId="3" fontId="0" fillId="4" borderId="3" xfId="0" applyNumberFormat="1" applyFill="1" applyBorder="1"/>
    <xf numFmtId="40" fontId="1" fillId="0" borderId="12" xfId="0" applyNumberFormat="1" applyFont="1" applyBorder="1" applyAlignment="1">
      <alignment horizontal="center"/>
    </xf>
    <xf numFmtId="40" fontId="1" fillId="0" borderId="4" xfId="0" applyNumberFormat="1" applyFont="1" applyBorder="1" applyAlignment="1">
      <alignment horizontal="center"/>
    </xf>
    <xf numFmtId="165" fontId="2" fillId="0" borderId="7" xfId="0" quotePrefix="1" applyNumberFormat="1" applyFont="1" applyBorder="1"/>
    <xf numFmtId="3" fontId="0" fillId="3" borderId="6" xfId="0" applyNumberFormat="1" applyFill="1" applyBorder="1"/>
    <xf numFmtId="0" fontId="0" fillId="0" borderId="16" xfId="0" applyBorder="1" applyAlignment="1">
      <alignment horizontal="left"/>
    </xf>
    <xf numFmtId="0" fontId="1" fillId="0" borderId="16" xfId="0" applyFont="1" applyBorder="1" applyAlignment="1">
      <alignment horizontal="left"/>
    </xf>
    <xf numFmtId="40" fontId="0" fillId="0" borderId="16" xfId="0" applyNumberFormat="1" applyBorder="1"/>
    <xf numFmtId="40" fontId="0" fillId="0" borderId="16" xfId="0" applyNumberFormat="1" applyBorder="1" applyAlignment="1">
      <alignment horizontal="right"/>
    </xf>
    <xf numFmtId="40" fontId="0" fillId="0" borderId="16" xfId="0" applyNumberFormat="1" applyBorder="1" applyAlignment="1">
      <alignment horizontal="center"/>
    </xf>
    <xf numFmtId="165" fontId="0" fillId="0" borderId="16" xfId="0" applyNumberFormat="1" applyBorder="1"/>
    <xf numFmtId="40" fontId="1" fillId="0" borderId="0" xfId="0" applyNumberFormat="1" applyFont="1"/>
    <xf numFmtId="0" fontId="2" fillId="0" borderId="0" xfId="0" applyFont="1" applyAlignment="1">
      <alignment horizontal="left"/>
    </xf>
    <xf numFmtId="0" fontId="2" fillId="0" borderId="16" xfId="0" applyFont="1" applyBorder="1" applyAlignment="1">
      <alignment horizontal="left"/>
    </xf>
    <xf numFmtId="40" fontId="0" fillId="0" borderId="2" xfId="0" applyNumberFormat="1" applyBorder="1"/>
    <xf numFmtId="0" fontId="0" fillId="5" borderId="0" xfId="0" applyFill="1" applyAlignment="1">
      <alignment horizontal="left"/>
    </xf>
    <xf numFmtId="0" fontId="1" fillId="5" borderId="0" xfId="0" applyFont="1" applyFill="1" applyAlignment="1">
      <alignment horizontal="left"/>
    </xf>
    <xf numFmtId="40" fontId="0" fillId="5" borderId="0" xfId="0" applyNumberFormat="1" applyFill="1"/>
    <xf numFmtId="0" fontId="1" fillId="6" borderId="0" xfId="0" applyFont="1" applyFill="1" applyAlignment="1">
      <alignment horizontal="left"/>
    </xf>
    <xf numFmtId="40" fontId="0" fillId="6" borderId="0" xfId="0" applyNumberFormat="1" applyFill="1"/>
    <xf numFmtId="165" fontId="0" fillId="6" borderId="0" xfId="0" applyNumberFormat="1" applyFill="1"/>
    <xf numFmtId="165" fontId="0" fillId="6" borderId="16" xfId="0" applyNumberFormat="1" applyFill="1" applyBorder="1"/>
    <xf numFmtId="38" fontId="1" fillId="6" borderId="0" xfId="0" applyNumberFormat="1" applyFont="1" applyFill="1"/>
    <xf numFmtId="38" fontId="0" fillId="6" borderId="4" xfId="0" applyNumberFormat="1" applyFill="1" applyBorder="1" applyAlignment="1">
      <alignment horizontal="left"/>
    </xf>
    <xf numFmtId="38" fontId="0" fillId="6" borderId="5" xfId="0" applyNumberFormat="1" applyFill="1" applyBorder="1" applyAlignment="1">
      <alignment horizontal="right"/>
    </xf>
    <xf numFmtId="38" fontId="0" fillId="6" borderId="3" xfId="0" applyNumberFormat="1" applyFill="1" applyBorder="1" applyAlignment="1">
      <alignment horizontal="right"/>
    </xf>
    <xf numFmtId="165" fontId="0" fillId="6" borderId="7" xfId="0" applyNumberFormat="1" applyFill="1" applyBorder="1" applyAlignment="1">
      <alignment horizontal="right"/>
    </xf>
    <xf numFmtId="165" fontId="0" fillId="6" borderId="3" xfId="0" applyNumberFormat="1" applyFill="1" applyBorder="1" applyAlignment="1">
      <alignment horizontal="right"/>
    </xf>
    <xf numFmtId="165" fontId="0" fillId="6" borderId="5" xfId="0" applyNumberFormat="1" applyFill="1" applyBorder="1"/>
    <xf numFmtId="38" fontId="0" fillId="6" borderId="9" xfId="0" applyNumberFormat="1" applyFill="1" applyBorder="1" applyAlignment="1">
      <alignment horizontal="center"/>
    </xf>
    <xf numFmtId="38" fontId="0" fillId="6" borderId="2" xfId="0" applyNumberFormat="1" applyFill="1" applyBorder="1"/>
    <xf numFmtId="38" fontId="0" fillId="6" borderId="0" xfId="0" applyNumberFormat="1" applyFill="1"/>
    <xf numFmtId="0" fontId="0" fillId="6" borderId="0" xfId="0" applyFill="1"/>
    <xf numFmtId="38" fontId="1" fillId="6" borderId="4" xfId="0" applyNumberFormat="1" applyFont="1" applyFill="1" applyBorder="1" applyAlignment="1">
      <alignment horizontal="left"/>
    </xf>
    <xf numFmtId="0" fontId="1" fillId="0" borderId="0" xfId="0" applyFont="1"/>
    <xf numFmtId="38" fontId="3" fillId="0" borderId="0" xfId="0" quotePrefix="1" applyNumberFormat="1" applyFont="1"/>
    <xf numFmtId="0" fontId="3" fillId="0" borderId="0" xfId="0" applyFont="1"/>
    <xf numFmtId="0" fontId="4" fillId="0" borderId="0" xfId="0" applyFont="1"/>
    <xf numFmtId="38" fontId="3" fillId="7" borderId="0" xfId="0" applyNumberFormat="1" applyFont="1" applyFill="1"/>
    <xf numFmtId="38" fontId="0" fillId="7" borderId="4" xfId="0" applyNumberFormat="1" applyFill="1" applyBorder="1" applyAlignment="1">
      <alignment horizontal="center"/>
    </xf>
    <xf numFmtId="38" fontId="0" fillId="7" borderId="3" xfId="0" applyNumberFormat="1" applyFill="1" applyBorder="1"/>
    <xf numFmtId="38" fontId="0" fillId="7" borderId="12" xfId="0" applyNumberFormat="1" applyFill="1" applyBorder="1" applyAlignment="1">
      <alignment horizontal="center"/>
    </xf>
    <xf numFmtId="38" fontId="0" fillId="7" borderId="17" xfId="0" applyNumberFormat="1" applyFill="1" applyBorder="1"/>
    <xf numFmtId="0" fontId="3" fillId="7" borderId="0" xfId="0" applyFont="1" applyFill="1"/>
    <xf numFmtId="38" fontId="0" fillId="8" borderId="4" xfId="0" applyNumberFormat="1" applyFill="1" applyBorder="1" applyAlignment="1">
      <alignment horizontal="center"/>
    </xf>
    <xf numFmtId="38" fontId="0" fillId="8" borderId="3" xfId="0" applyNumberFormat="1" applyFill="1" applyBorder="1"/>
    <xf numFmtId="38" fontId="0" fillId="8" borderId="12" xfId="0" applyNumberFormat="1" applyFill="1" applyBorder="1" applyAlignment="1">
      <alignment horizontal="center"/>
    </xf>
    <xf numFmtId="38" fontId="0" fillId="8" borderId="17" xfId="0" applyNumberFormat="1" applyFill="1" applyBorder="1"/>
    <xf numFmtId="38" fontId="3" fillId="5" borderId="4" xfId="0" applyNumberFormat="1" applyFont="1" applyFill="1" applyBorder="1" applyAlignment="1">
      <alignment horizontal="left"/>
    </xf>
    <xf numFmtId="38" fontId="3" fillId="5" borderId="5" xfId="0" applyNumberFormat="1" applyFont="1" applyFill="1" applyBorder="1" applyAlignment="1">
      <alignment horizontal="right"/>
    </xf>
    <xf numFmtId="38" fontId="3" fillId="5" borderId="3" xfId="0" applyNumberFormat="1" applyFont="1" applyFill="1" applyBorder="1" applyAlignment="1">
      <alignment horizontal="right"/>
    </xf>
    <xf numFmtId="165" fontId="0" fillId="5" borderId="7" xfId="0" applyNumberFormat="1" applyFill="1" applyBorder="1" applyAlignment="1">
      <alignment horizontal="right"/>
    </xf>
    <xf numFmtId="165" fontId="0" fillId="5" borderId="0" xfId="0" applyNumberFormat="1" applyFill="1"/>
    <xf numFmtId="165" fontId="0" fillId="5" borderId="3" xfId="0" applyNumberFormat="1" applyFill="1" applyBorder="1" applyAlignment="1">
      <alignment horizontal="right"/>
    </xf>
    <xf numFmtId="165" fontId="0" fillId="5" borderId="5" xfId="0" applyNumberFormat="1" applyFill="1" applyBorder="1"/>
    <xf numFmtId="38" fontId="0" fillId="5" borderId="9" xfId="0" applyNumberFormat="1" applyFill="1" applyBorder="1" applyAlignment="1">
      <alignment horizontal="center"/>
    </xf>
    <xf numFmtId="38" fontId="0" fillId="5" borderId="2" xfId="0" applyNumberFormat="1" applyFill="1" applyBorder="1"/>
    <xf numFmtId="38" fontId="0" fillId="5" borderId="0" xfId="0" applyNumberFormat="1" applyFill="1"/>
    <xf numFmtId="38" fontId="0" fillId="5" borderId="14" xfId="0" applyNumberFormat="1" applyFill="1" applyBorder="1"/>
    <xf numFmtId="0" fontId="1" fillId="6" borderId="0" xfId="0" applyFont="1" applyFill="1"/>
    <xf numFmtId="38" fontId="1" fillId="9" borderId="4" xfId="0" quotePrefix="1" applyNumberFormat="1" applyFont="1" applyFill="1" applyBorder="1" applyAlignment="1">
      <alignment horizontal="left"/>
    </xf>
    <xf numFmtId="38" fontId="0" fillId="9" borderId="5" xfId="0" applyNumberFormat="1" applyFill="1" applyBorder="1" applyAlignment="1">
      <alignment horizontal="right"/>
    </xf>
    <xf numFmtId="38" fontId="0" fillId="9" borderId="3" xfId="0" applyNumberFormat="1" applyFill="1" applyBorder="1" applyAlignment="1">
      <alignment horizontal="right"/>
    </xf>
    <xf numFmtId="165" fontId="1" fillId="9" borderId="7" xfId="0" quotePrefix="1" applyNumberFormat="1" applyFont="1" applyFill="1" applyBorder="1"/>
    <xf numFmtId="165" fontId="0" fillId="9" borderId="5" xfId="0" applyNumberFormat="1" applyFill="1" applyBorder="1"/>
    <xf numFmtId="165" fontId="0" fillId="9" borderId="3" xfId="0" applyNumberFormat="1" applyFill="1" applyBorder="1" applyAlignment="1">
      <alignment horizontal="right"/>
    </xf>
    <xf numFmtId="38" fontId="1" fillId="0" borderId="0" xfId="0" applyNumberFormat="1" applyFont="1" applyAlignment="1">
      <alignment horizontal="left"/>
    </xf>
    <xf numFmtId="165" fontId="1" fillId="4" borderId="4" xfId="0" quotePrefix="1" applyNumberFormat="1" applyFont="1" applyFill="1" applyBorder="1"/>
    <xf numFmtId="165" fontId="0" fillId="4" borderId="3" xfId="0" applyNumberFormat="1" applyFill="1" applyBorder="1"/>
    <xf numFmtId="165" fontId="1" fillId="8" borderId="4" xfId="0" quotePrefix="1" applyNumberFormat="1" applyFont="1" applyFill="1" applyBorder="1"/>
    <xf numFmtId="38" fontId="0" fillId="8" borderId="3" xfId="0" applyNumberFormat="1" applyFill="1" applyBorder="1" applyAlignment="1">
      <alignment horizontal="right"/>
    </xf>
    <xf numFmtId="165" fontId="1" fillId="9" borderId="4" xfId="0" quotePrefix="1" applyNumberFormat="1" applyFont="1" applyFill="1" applyBorder="1"/>
    <xf numFmtId="38" fontId="0" fillId="9" borderId="2" xfId="0" applyNumberFormat="1" applyFill="1" applyBorder="1" applyAlignment="1">
      <alignment horizontal="right"/>
    </xf>
    <xf numFmtId="38" fontId="1" fillId="8" borderId="2" xfId="0" quotePrefix="1" applyNumberFormat="1" applyFont="1" applyFill="1" applyBorder="1" applyAlignment="1">
      <alignment horizontal="left"/>
    </xf>
    <xf numFmtId="38" fontId="0" fillId="8" borderId="5" xfId="0" applyNumberFormat="1" applyFill="1" applyBorder="1" applyAlignment="1">
      <alignment horizontal="right"/>
    </xf>
    <xf numFmtId="38" fontId="1" fillId="8" borderId="4" xfId="0" quotePrefix="1" applyNumberFormat="1" applyFont="1" applyFill="1" applyBorder="1" applyAlignment="1">
      <alignment horizontal="left"/>
    </xf>
    <xf numFmtId="38" fontId="0" fillId="8" borderId="2" xfId="0" applyNumberFormat="1" applyFill="1" applyBorder="1" applyAlignment="1">
      <alignment horizontal="right"/>
    </xf>
    <xf numFmtId="3" fontId="0" fillId="8" borderId="4" xfId="0" applyNumberFormat="1" applyFill="1" applyBorder="1" applyAlignment="1">
      <alignment horizontal="left"/>
    </xf>
    <xf numFmtId="3" fontId="0" fillId="8" borderId="2" xfId="0" applyNumberFormat="1" applyFill="1" applyBorder="1"/>
    <xf numFmtId="3" fontId="0" fillId="8" borderId="3" xfId="0" applyNumberFormat="1" applyFill="1" applyBorder="1"/>
    <xf numFmtId="165" fontId="0" fillId="8" borderId="4" xfId="0" quotePrefix="1" applyNumberFormat="1" applyFill="1" applyBorder="1" applyAlignment="1">
      <alignment horizontal="right"/>
    </xf>
    <xf numFmtId="165" fontId="2" fillId="8" borderId="2" xfId="0" applyNumberFormat="1" applyFont="1" applyFill="1" applyBorder="1"/>
    <xf numFmtId="165" fontId="0" fillId="8" borderId="3" xfId="0" applyNumberFormat="1" applyFill="1" applyBorder="1" applyAlignment="1">
      <alignment horizontal="right"/>
    </xf>
    <xf numFmtId="165" fontId="0" fillId="4" borderId="4" xfId="0" quotePrefix="1" applyNumberFormat="1" applyFill="1" applyBorder="1" applyAlignment="1">
      <alignment horizontal="right"/>
    </xf>
    <xf numFmtId="165" fontId="2" fillId="4" borderId="2" xfId="0" applyNumberFormat="1" applyFont="1" applyFill="1" applyBorder="1"/>
    <xf numFmtId="165" fontId="0" fillId="4" borderId="3" xfId="0" applyNumberFormat="1" applyFill="1" applyBorder="1" applyAlignment="1">
      <alignment horizontal="right"/>
    </xf>
    <xf numFmtId="3" fontId="0" fillId="9" borderId="4" xfId="0" applyNumberFormat="1" applyFill="1" applyBorder="1" applyAlignment="1">
      <alignment horizontal="left"/>
    </xf>
    <xf numFmtId="3" fontId="0" fillId="9" borderId="2" xfId="0" applyNumberFormat="1" applyFill="1" applyBorder="1"/>
    <xf numFmtId="3" fontId="0" fillId="9" borderId="3" xfId="0" applyNumberFormat="1" applyFill="1" applyBorder="1"/>
    <xf numFmtId="165" fontId="0" fillId="9" borderId="4" xfId="0" quotePrefix="1" applyNumberFormat="1" applyFill="1" applyBorder="1" applyAlignment="1">
      <alignment horizontal="right"/>
    </xf>
    <xf numFmtId="165" fontId="2" fillId="9" borderId="2" xfId="0" applyNumberFormat="1" applyFont="1" applyFill="1" applyBorder="1"/>
    <xf numFmtId="3" fontId="1" fillId="4" borderId="4" xfId="0" applyNumberFormat="1" applyFont="1" applyFill="1" applyBorder="1" applyAlignment="1">
      <alignment horizontal="left"/>
    </xf>
    <xf numFmtId="40" fontId="0" fillId="4" borderId="0" xfId="0" applyNumberFormat="1" applyFill="1" applyAlignment="1">
      <alignment horizontal="right"/>
    </xf>
    <xf numFmtId="40" fontId="0" fillId="4" borderId="0" xfId="0" applyNumberFormat="1" applyFill="1" applyAlignment="1">
      <alignment horizontal="center"/>
    </xf>
    <xf numFmtId="40" fontId="0" fillId="4" borderId="0" xfId="0" applyNumberFormat="1" applyFill="1"/>
    <xf numFmtId="167" fontId="1" fillId="0" borderId="0" xfId="2"/>
    <xf numFmtId="40" fontId="0" fillId="0" borderId="0" xfId="1" applyNumberFormat="1" applyFont="1"/>
    <xf numFmtId="40" fontId="1" fillId="0" borderId="0" xfId="1" applyNumberFormat="1" applyFont="1"/>
    <xf numFmtId="40" fontId="3" fillId="0" borderId="0" xfId="0" applyNumberFormat="1" applyFont="1"/>
    <xf numFmtId="40" fontId="3" fillId="0" borderId="0" xfId="1" quotePrefix="1" applyNumberFormat="1" applyFont="1" applyAlignment="1">
      <alignment horizontal="right"/>
    </xf>
    <xf numFmtId="40" fontId="0" fillId="0" borderId="0" xfId="1" applyNumberFormat="1" applyFont="1" applyFill="1" applyAlignment="1">
      <alignment horizontal="right"/>
    </xf>
    <xf numFmtId="40" fontId="1" fillId="0" borderId="0" xfId="1" applyNumberFormat="1" applyFont="1" applyFill="1"/>
    <xf numFmtId="40" fontId="0" fillId="0" borderId="0" xfId="1" applyNumberFormat="1" applyFont="1" applyFill="1"/>
    <xf numFmtId="167" fontId="8" fillId="0" borderId="0" xfId="2" applyFont="1" applyAlignment="1">
      <alignment horizontal="center"/>
    </xf>
    <xf numFmtId="4" fontId="1" fillId="0" borderId="0" xfId="2" applyNumberFormat="1"/>
    <xf numFmtId="40" fontId="1" fillId="0" borderId="0" xfId="2" applyNumberFormat="1"/>
    <xf numFmtId="40" fontId="1" fillId="0" borderId="0" xfId="2" applyNumberFormat="1" applyAlignment="1">
      <alignment horizontal="center"/>
    </xf>
    <xf numFmtId="40" fontId="0" fillId="0" borderId="0" xfId="1" applyNumberFormat="1" applyFont="1" applyAlignment="1">
      <alignment horizontal="right"/>
    </xf>
    <xf numFmtId="167" fontId="1" fillId="2" borderId="18" xfId="2" applyFill="1" applyBorder="1"/>
    <xf numFmtId="40" fontId="0" fillId="2" borderId="18" xfId="1" applyNumberFormat="1" applyFont="1" applyFill="1" applyBorder="1" applyAlignment="1">
      <alignment horizontal="center"/>
    </xf>
    <xf numFmtId="40" fontId="3" fillId="11" borderId="18" xfId="1" applyNumberFormat="1" applyFont="1" applyFill="1" applyBorder="1" applyAlignment="1">
      <alignment horizontal="center"/>
    </xf>
    <xf numFmtId="40" fontId="1" fillId="2" borderId="18" xfId="1" applyNumberFormat="1" applyFont="1" applyFill="1" applyBorder="1" applyAlignment="1">
      <alignment horizontal="center"/>
    </xf>
    <xf numFmtId="40" fontId="0" fillId="2" borderId="18" xfId="1" quotePrefix="1" applyNumberFormat="1" applyFont="1" applyFill="1" applyBorder="1" applyAlignment="1">
      <alignment horizontal="center"/>
    </xf>
    <xf numFmtId="40" fontId="1" fillId="2" borderId="18" xfId="1" quotePrefix="1" applyNumberFormat="1" applyFont="1" applyFill="1" applyBorder="1" applyAlignment="1">
      <alignment horizontal="center"/>
    </xf>
    <xf numFmtId="40" fontId="1" fillId="4" borderId="1" xfId="2" applyNumberFormat="1" applyFill="1" applyBorder="1" applyAlignment="1">
      <alignment horizontal="center"/>
    </xf>
    <xf numFmtId="167" fontId="1" fillId="2" borderId="20" xfId="2" applyFill="1" applyBorder="1"/>
    <xf numFmtId="40" fontId="0" fillId="2" borderId="20" xfId="1" applyNumberFormat="1" applyFont="1" applyFill="1" applyBorder="1"/>
    <xf numFmtId="40" fontId="0" fillId="2" borderId="20" xfId="1" applyNumberFormat="1" applyFont="1" applyFill="1" applyBorder="1" applyAlignment="1">
      <alignment horizontal="center"/>
    </xf>
    <xf numFmtId="40" fontId="3" fillId="11" borderId="20" xfId="1" applyNumberFormat="1" applyFont="1" applyFill="1" applyBorder="1" applyAlignment="1">
      <alignment horizontal="center"/>
    </xf>
    <xf numFmtId="40" fontId="0" fillId="2" borderId="20" xfId="1" quotePrefix="1" applyNumberFormat="1" applyFont="1" applyFill="1" applyBorder="1" applyAlignment="1">
      <alignment horizontal="center"/>
    </xf>
    <xf numFmtId="40" fontId="1" fillId="2" borderId="20" xfId="1" quotePrefix="1" applyNumberFormat="1" applyFont="1" applyFill="1" applyBorder="1" applyAlignment="1">
      <alignment horizontal="center"/>
    </xf>
    <xf numFmtId="40" fontId="1" fillId="2" borderId="20" xfId="1" applyNumberFormat="1" applyFont="1" applyFill="1" applyBorder="1" applyAlignment="1">
      <alignment horizontal="center"/>
    </xf>
    <xf numFmtId="40" fontId="1" fillId="4" borderId="8" xfId="2" applyNumberFormat="1" applyFill="1" applyBorder="1" applyAlignment="1">
      <alignment horizontal="center"/>
    </xf>
    <xf numFmtId="40" fontId="0" fillId="0" borderId="0" xfId="1" applyNumberFormat="1" applyFont="1" applyFill="1" applyBorder="1"/>
    <xf numFmtId="40" fontId="0" fillId="0" borderId="0" xfId="1" applyNumberFormat="1" applyFont="1" applyFill="1" applyBorder="1" applyAlignment="1">
      <alignment horizontal="center"/>
    </xf>
    <xf numFmtId="40" fontId="3" fillId="0" borderId="0" xfId="1" applyNumberFormat="1" applyFont="1" applyFill="1" applyBorder="1" applyAlignment="1">
      <alignment horizontal="center"/>
    </xf>
    <xf numFmtId="40" fontId="0" fillId="0" borderId="0" xfId="1" quotePrefix="1" applyNumberFormat="1" applyFont="1" applyFill="1" applyBorder="1" applyAlignment="1">
      <alignment horizontal="center"/>
    </xf>
    <xf numFmtId="40" fontId="1" fillId="0" borderId="0" xfId="1" quotePrefix="1" applyNumberFormat="1" applyFont="1" applyFill="1" applyBorder="1" applyAlignment="1">
      <alignment horizontal="center"/>
    </xf>
    <xf numFmtId="40" fontId="1" fillId="0" borderId="0" xfId="1" applyNumberFormat="1" applyFont="1" applyFill="1" applyBorder="1" applyAlignment="1">
      <alignment horizontal="center"/>
    </xf>
    <xf numFmtId="167" fontId="1" fillId="0" borderId="0" xfId="2" applyAlignment="1">
      <alignment horizontal="center"/>
    </xf>
    <xf numFmtId="167" fontId="3" fillId="4" borderId="0" xfId="2" applyFont="1" applyFill="1"/>
    <xf numFmtId="167" fontId="1" fillId="4" borderId="0" xfId="2" applyFill="1"/>
    <xf numFmtId="40" fontId="0" fillId="0" borderId="0" xfId="1" applyNumberFormat="1" applyFont="1" applyFill="1" applyBorder="1" applyAlignment="1">
      <alignment horizontal="right"/>
    </xf>
    <xf numFmtId="40" fontId="0" fillId="0" borderId="0" xfId="1" quotePrefix="1" applyNumberFormat="1" applyFont="1" applyFill="1" applyBorder="1" applyAlignment="1">
      <alignment horizontal="right"/>
    </xf>
    <xf numFmtId="40" fontId="1" fillId="0" borderId="0" xfId="1" quotePrefix="1" applyNumberFormat="1" applyFont="1" applyFill="1" applyBorder="1" applyAlignment="1">
      <alignment horizontal="right"/>
    </xf>
    <xf numFmtId="167" fontId="3" fillId="0" borderId="0" xfId="2" applyFont="1"/>
    <xf numFmtId="40" fontId="1" fillId="0" borderId="0" xfId="1" applyNumberFormat="1" applyFont="1" applyFill="1" applyBorder="1"/>
    <xf numFmtId="40" fontId="1" fillId="0" borderId="0" xfId="1" applyNumberFormat="1" applyFont="1" applyFill="1" applyBorder="1" applyAlignment="1">
      <alignment horizontal="right"/>
    </xf>
    <xf numFmtId="167" fontId="3" fillId="2" borderId="10" xfId="2" applyFont="1" applyFill="1" applyBorder="1"/>
    <xf numFmtId="40" fontId="0" fillId="2" borderId="10" xfId="1" applyNumberFormat="1" applyFont="1" applyFill="1" applyBorder="1"/>
    <xf numFmtId="40" fontId="0" fillId="0" borderId="0" xfId="1" applyNumberFormat="1" applyFont="1" applyFill="1" applyBorder="1" applyAlignment="1"/>
    <xf numFmtId="40" fontId="1" fillId="0" borderId="0" xfId="1" applyNumberFormat="1" applyFont="1" applyFill="1" applyBorder="1" applyAlignment="1"/>
    <xf numFmtId="40" fontId="0" fillId="0" borderId="0" xfId="1" quotePrefix="1" applyNumberFormat="1" applyFont="1" applyFill="1" applyBorder="1" applyAlignment="1"/>
    <xf numFmtId="40" fontId="1" fillId="0" borderId="0" xfId="1" quotePrefix="1" applyNumberFormat="1" applyFont="1" applyFill="1" applyBorder="1" applyAlignment="1"/>
    <xf numFmtId="40" fontId="1" fillId="0" borderId="0" xfId="3" applyNumberFormat="1"/>
    <xf numFmtId="167" fontId="1" fillId="12" borderId="0" xfId="2" applyFill="1"/>
    <xf numFmtId="40" fontId="0" fillId="12" borderId="0" xfId="1" applyNumberFormat="1" applyFont="1" applyFill="1" applyBorder="1"/>
    <xf numFmtId="40" fontId="0" fillId="12" borderId="0" xfId="1" applyNumberFormat="1" applyFont="1" applyFill="1" applyBorder="1" applyAlignment="1">
      <alignment horizontal="center"/>
    </xf>
    <xf numFmtId="40" fontId="0" fillId="12" borderId="0" xfId="1" applyNumberFormat="1" applyFont="1" applyFill="1" applyBorder="1" applyAlignment="1">
      <alignment horizontal="right"/>
    </xf>
    <xf numFmtId="40" fontId="0" fillId="12" borderId="0" xfId="1" quotePrefix="1" applyNumberFormat="1" applyFont="1" applyFill="1" applyBorder="1" applyAlignment="1">
      <alignment horizontal="right"/>
    </xf>
    <xf numFmtId="40" fontId="1" fillId="12" borderId="0" xfId="1" applyNumberFormat="1" applyFont="1" applyFill="1" applyBorder="1" applyAlignment="1">
      <alignment horizontal="right"/>
    </xf>
    <xf numFmtId="167" fontId="1" fillId="12" borderId="0" xfId="2" applyFill="1" applyAlignment="1">
      <alignment horizontal="center"/>
    </xf>
    <xf numFmtId="167" fontId="8" fillId="12" borderId="0" xfId="2" applyFont="1" applyFill="1" applyAlignment="1">
      <alignment horizontal="center"/>
    </xf>
    <xf numFmtId="4" fontId="1" fillId="12" borderId="0" xfId="2" applyNumberFormat="1" applyFill="1"/>
    <xf numFmtId="40" fontId="1" fillId="12" borderId="0" xfId="2" applyNumberFormat="1" applyFill="1"/>
    <xf numFmtId="40" fontId="1" fillId="12" borderId="0" xfId="2" applyNumberFormat="1" applyFill="1" applyAlignment="1">
      <alignment horizontal="center"/>
    </xf>
    <xf numFmtId="40" fontId="1" fillId="12" borderId="0" xfId="1" quotePrefix="1" applyNumberFormat="1" applyFont="1" applyFill="1" applyBorder="1" applyAlignment="1">
      <alignment horizontal="right"/>
    </xf>
    <xf numFmtId="40" fontId="3" fillId="0" borderId="0" xfId="1" applyNumberFormat="1" applyFont="1" applyFill="1"/>
    <xf numFmtId="40" fontId="0" fillId="4" borderId="0" xfId="1" quotePrefix="1" applyNumberFormat="1" applyFont="1" applyFill="1" applyBorder="1" applyAlignment="1">
      <alignment horizontal="right"/>
    </xf>
    <xf numFmtId="167" fontId="3" fillId="6" borderId="0" xfId="2" applyFont="1" applyFill="1"/>
    <xf numFmtId="167" fontId="1" fillId="6" borderId="0" xfId="2" applyFill="1"/>
    <xf numFmtId="40" fontId="10" fillId="0" borderId="0" xfId="1" applyNumberFormat="1" applyFont="1" applyFill="1" applyBorder="1" applyAlignment="1">
      <alignment horizontal="right"/>
    </xf>
    <xf numFmtId="40" fontId="0" fillId="2" borderId="10" xfId="1" applyNumberFormat="1" applyFont="1" applyFill="1" applyBorder="1" applyAlignment="1">
      <alignment horizontal="right"/>
    </xf>
    <xf numFmtId="40" fontId="1" fillId="2" borderId="10" xfId="1" applyNumberFormat="1" applyFont="1" applyFill="1" applyBorder="1"/>
    <xf numFmtId="167" fontId="1" fillId="13" borderId="0" xfId="2" applyFill="1" applyAlignment="1">
      <alignment horizontal="center"/>
    </xf>
    <xf numFmtId="167" fontId="1" fillId="13" borderId="0" xfId="2" applyFill="1"/>
    <xf numFmtId="40" fontId="1" fillId="0" borderId="0" xfId="2" applyNumberFormat="1" applyAlignment="1">
      <alignment horizontal="right"/>
    </xf>
    <xf numFmtId="167" fontId="1" fillId="0" borderId="0" xfId="2" applyAlignment="1">
      <alignment horizontal="left"/>
    </xf>
    <xf numFmtId="49" fontId="1" fillId="0" borderId="0" xfId="1" applyNumberFormat="1" applyFont="1" applyFill="1" applyBorder="1" applyAlignment="1">
      <alignment horizontal="left"/>
    </xf>
    <xf numFmtId="167" fontId="1" fillId="10" borderId="7" xfId="2" applyFill="1" applyBorder="1" applyAlignment="1">
      <alignment horizontal="left"/>
    </xf>
    <xf numFmtId="40" fontId="1" fillId="10" borderId="5" xfId="1" applyNumberFormat="1" applyFont="1" applyFill="1" applyBorder="1"/>
    <xf numFmtId="167" fontId="1" fillId="2" borderId="10" xfId="2" quotePrefix="1" applyFill="1" applyBorder="1" applyAlignment="1">
      <alignment horizontal="left"/>
    </xf>
    <xf numFmtId="167" fontId="1" fillId="0" borderId="0" xfId="2" quotePrefix="1" applyAlignment="1">
      <alignment horizontal="left"/>
    </xf>
    <xf numFmtId="40" fontId="3" fillId="0" borderId="0" xfId="1" applyNumberFormat="1" applyFont="1" applyFill="1" applyBorder="1"/>
    <xf numFmtId="40" fontId="10" fillId="0" borderId="0" xfId="1" quotePrefix="1" applyNumberFormat="1" applyFont="1" applyFill="1" applyBorder="1" applyAlignment="1">
      <alignment horizontal="right"/>
    </xf>
    <xf numFmtId="167" fontId="1" fillId="0" borderId="2" xfId="2" quotePrefix="1" applyBorder="1" applyAlignment="1">
      <alignment horizontal="left"/>
    </xf>
    <xf numFmtId="40" fontId="0" fillId="0" borderId="2" xfId="1" applyNumberFormat="1" applyFont="1" applyFill="1" applyBorder="1"/>
    <xf numFmtId="40" fontId="10" fillId="0" borderId="2" xfId="1" applyNumberFormat="1" applyFont="1" applyFill="1" applyBorder="1" applyAlignment="1">
      <alignment horizontal="right"/>
    </xf>
    <xf numFmtId="40" fontId="1" fillId="0" borderId="2" xfId="1" applyNumberFormat="1" applyFont="1" applyFill="1" applyBorder="1"/>
    <xf numFmtId="40" fontId="0" fillId="10" borderId="5" xfId="1" applyNumberFormat="1" applyFont="1" applyFill="1" applyBorder="1"/>
    <xf numFmtId="40" fontId="1" fillId="0" borderId="0" xfId="1" applyNumberFormat="1" applyFont="1" applyAlignment="1">
      <alignment horizontal="right"/>
    </xf>
    <xf numFmtId="40" fontId="3" fillId="0" borderId="0" xfId="2" quotePrefix="1" applyNumberFormat="1" applyFont="1" applyAlignment="1">
      <alignment horizontal="left"/>
    </xf>
    <xf numFmtId="40" fontId="3" fillId="14" borderId="10" xfId="1" applyNumberFormat="1" applyFont="1" applyFill="1" applyBorder="1"/>
    <xf numFmtId="40" fontId="3" fillId="14" borderId="2" xfId="1" applyNumberFormat="1" applyFont="1" applyFill="1" applyBorder="1"/>
    <xf numFmtId="168" fontId="1" fillId="0" borderId="0" xfId="2" applyNumberFormat="1" applyAlignment="1">
      <alignment horizontal="right"/>
    </xf>
    <xf numFmtId="40" fontId="1" fillId="0" borderId="0" xfId="1" applyNumberFormat="1" applyFont="1" applyBorder="1" applyAlignment="1">
      <alignment horizontal="right"/>
    </xf>
    <xf numFmtId="40" fontId="1" fillId="0" borderId="0" xfId="1" applyNumberFormat="1" applyFont="1" applyAlignment="1">
      <alignment horizontal="left"/>
    </xf>
    <xf numFmtId="40" fontId="0" fillId="0" borderId="0" xfId="1" applyNumberFormat="1" applyFont="1" applyAlignment="1">
      <alignment horizontal="center"/>
    </xf>
    <xf numFmtId="40" fontId="0" fillId="15" borderId="0" xfId="1" applyNumberFormat="1" applyFont="1" applyFill="1" applyAlignment="1">
      <alignment horizontal="right"/>
    </xf>
    <xf numFmtId="40" fontId="1" fillId="0" borderId="0" xfId="1" applyNumberFormat="1" applyFont="1" applyBorder="1" applyAlignment="1">
      <alignment horizontal="center"/>
    </xf>
    <xf numFmtId="40" fontId="12" fillId="0" borderId="0" xfId="1" applyNumberFormat="1" applyFont="1"/>
    <xf numFmtId="0" fontId="1" fillId="0" borderId="0" xfId="0" applyFont="1" applyAlignment="1">
      <alignment horizontal="center"/>
    </xf>
    <xf numFmtId="40" fontId="0" fillId="0" borderId="0" xfId="1" applyNumberFormat="1" applyFont="1" applyBorder="1"/>
    <xf numFmtId="169" fontId="1" fillId="0" borderId="0" xfId="2" applyNumberFormat="1" applyAlignment="1">
      <alignment horizontal="center"/>
    </xf>
    <xf numFmtId="40" fontId="1" fillId="0" borderId="0" xfId="1" applyNumberFormat="1" applyFont="1" applyFill="1" applyBorder="1" applyAlignment="1">
      <alignment horizontal="left"/>
    </xf>
    <xf numFmtId="40" fontId="1" fillId="0" borderId="0" xfId="1" applyNumberFormat="1" applyFont="1" applyBorder="1" applyAlignment="1">
      <alignment horizontal="left"/>
    </xf>
    <xf numFmtId="40" fontId="0" fillId="0" borderId="0" xfId="1" applyNumberFormat="1" applyFont="1" applyBorder="1" applyAlignment="1">
      <alignment horizontal="right"/>
    </xf>
    <xf numFmtId="40" fontId="1" fillId="0" borderId="0" xfId="1" applyNumberFormat="1" applyFont="1" applyAlignment="1">
      <alignment horizontal="center"/>
    </xf>
    <xf numFmtId="40" fontId="0" fillId="0" borderId="0" xfId="1" applyNumberFormat="1" applyFont="1" applyAlignment="1">
      <alignment horizontal="left"/>
    </xf>
    <xf numFmtId="168" fontId="0" fillId="0" borderId="0" xfId="1" applyNumberFormat="1" applyFont="1" applyAlignment="1">
      <alignment horizontal="right"/>
    </xf>
    <xf numFmtId="40" fontId="0" fillId="0" borderId="0" xfId="1" applyNumberFormat="1" applyFont="1" applyAlignment="1"/>
    <xf numFmtId="40" fontId="1" fillId="0" borderId="0" xfId="1" applyNumberFormat="1" applyFont="1" applyAlignment="1"/>
    <xf numFmtId="40" fontId="0" fillId="0" borderId="0" xfId="1" applyNumberFormat="1" applyFont="1" applyFill="1" applyAlignment="1">
      <alignment horizontal="center"/>
    </xf>
    <xf numFmtId="40" fontId="1" fillId="0" borderId="0" xfId="1" applyNumberFormat="1" applyFont="1" applyFill="1" applyAlignment="1">
      <alignment horizontal="right"/>
    </xf>
    <xf numFmtId="40" fontId="1" fillId="0" borderId="0" xfId="1" applyNumberFormat="1" applyFont="1" applyFill="1" applyAlignment="1">
      <alignment horizontal="center"/>
    </xf>
    <xf numFmtId="40" fontId="0" fillId="0" borderId="0" xfId="1" applyNumberFormat="1" applyFont="1" applyAlignment="1">
      <alignment horizontal="center" vertical="center"/>
    </xf>
    <xf numFmtId="4" fontId="1" fillId="0" borderId="0" xfId="0" applyNumberFormat="1" applyFont="1"/>
    <xf numFmtId="4" fontId="1" fillId="0" borderId="0" xfId="1" applyNumberFormat="1" applyFont="1" applyFill="1" applyBorder="1"/>
    <xf numFmtId="43" fontId="7" fillId="0" borderId="0" xfId="1"/>
    <xf numFmtId="40" fontId="3" fillId="0" borderId="0" xfId="1" applyNumberFormat="1" applyFont="1" applyAlignment="1">
      <alignment horizontal="center"/>
    </xf>
    <xf numFmtId="0" fontId="14" fillId="0" borderId="0" xfId="0" applyFont="1" applyAlignment="1">
      <alignment vertical="center"/>
    </xf>
    <xf numFmtId="167" fontId="1" fillId="0" borderId="21" xfId="2" applyBorder="1"/>
    <xf numFmtId="40" fontId="0" fillId="0" borderId="22" xfId="1" applyNumberFormat="1" applyFont="1" applyBorder="1"/>
    <xf numFmtId="40" fontId="1" fillId="0" borderId="19" xfId="1" applyNumberFormat="1" applyFont="1" applyBorder="1" applyAlignment="1">
      <alignment horizontal="left"/>
    </xf>
    <xf numFmtId="40" fontId="1" fillId="0" borderId="23" xfId="2" applyNumberFormat="1" applyBorder="1"/>
    <xf numFmtId="40" fontId="0" fillId="0" borderId="23" xfId="1" applyNumberFormat="1" applyFont="1" applyFill="1" applyBorder="1"/>
    <xf numFmtId="40" fontId="0" fillId="0" borderId="23" xfId="1" applyNumberFormat="1" applyFont="1" applyBorder="1"/>
    <xf numFmtId="167" fontId="1" fillId="0" borderId="19" xfId="2" applyBorder="1"/>
    <xf numFmtId="40" fontId="1" fillId="0" borderId="23" xfId="1" applyNumberFormat="1" applyFont="1" applyBorder="1"/>
    <xf numFmtId="167" fontId="1" fillId="0" borderId="24" xfId="2" applyBorder="1"/>
    <xf numFmtId="40" fontId="0" fillId="0" borderId="25" xfId="1" applyNumberFormat="1" applyFont="1" applyBorder="1"/>
    <xf numFmtId="165" fontId="0" fillId="0" borderId="16" xfId="0" applyNumberFormat="1" applyBorder="1" applyAlignment="1">
      <alignment horizontal="right"/>
    </xf>
    <xf numFmtId="0" fontId="16" fillId="0" borderId="0" xfId="0" applyFont="1" applyAlignment="1">
      <alignment horizontal="left"/>
    </xf>
    <xf numFmtId="167" fontId="1" fillId="16" borderId="0" xfId="2" applyFill="1"/>
    <xf numFmtId="0" fontId="2" fillId="0" borderId="14" xfId="0" applyFont="1" applyBorder="1" applyAlignment="1">
      <alignment horizontal="left"/>
    </xf>
    <xf numFmtId="165" fontId="0" fillId="17" borderId="3" xfId="0" applyNumberFormat="1" applyFill="1" applyBorder="1" applyAlignment="1">
      <alignment horizontal="right"/>
    </xf>
    <xf numFmtId="38" fontId="2" fillId="9" borderId="4" xfId="0" applyNumberFormat="1" applyFont="1" applyFill="1" applyBorder="1" applyAlignment="1">
      <alignment horizontal="left"/>
    </xf>
    <xf numFmtId="38" fontId="2" fillId="9" borderId="5" xfId="0" applyNumberFormat="1" applyFont="1" applyFill="1" applyBorder="1" applyAlignment="1">
      <alignment horizontal="right"/>
    </xf>
    <xf numFmtId="38" fontId="2" fillId="9" borderId="11" xfId="0" applyNumberFormat="1" applyFont="1" applyFill="1" applyBorder="1" applyAlignment="1">
      <alignment horizontal="right"/>
    </xf>
    <xf numFmtId="38" fontId="2" fillId="8" borderId="4" xfId="0" applyNumberFormat="1" applyFont="1" applyFill="1" applyBorder="1" applyAlignment="1">
      <alignment horizontal="left"/>
    </xf>
    <xf numFmtId="38" fontId="0" fillId="8" borderId="11" xfId="0" applyNumberFormat="1" applyFill="1" applyBorder="1" applyAlignment="1">
      <alignment horizontal="right"/>
    </xf>
    <xf numFmtId="165" fontId="2" fillId="0" borderId="5" xfId="0" applyNumberFormat="1" applyFont="1" applyBorder="1"/>
    <xf numFmtId="165" fontId="2" fillId="0" borderId="3" xfId="0" applyNumberFormat="1" applyFont="1" applyBorder="1" applyAlignment="1">
      <alignment horizontal="right"/>
    </xf>
    <xf numFmtId="0" fontId="3" fillId="0" borderId="0" xfId="0" applyFont="1" applyAlignment="1">
      <alignment horizontal="center"/>
    </xf>
    <xf numFmtId="170" fontId="0" fillId="0" borderId="0" xfId="1" applyNumberFormat="1" applyFont="1" applyFill="1"/>
    <xf numFmtId="170" fontId="0" fillId="0" borderId="0" xfId="1" applyNumberFormat="1" applyFont="1"/>
    <xf numFmtId="43" fontId="0" fillId="0" borderId="0" xfId="1" applyFont="1" applyFill="1"/>
    <xf numFmtId="43" fontId="1" fillId="0" borderId="0" xfId="1" applyFont="1" applyFill="1" applyBorder="1"/>
    <xf numFmtId="43" fontId="3" fillId="0" borderId="0" xfId="1" applyFont="1" applyFill="1"/>
    <xf numFmtId="43" fontId="0" fillId="0" borderId="0" xfId="0" applyNumberFormat="1"/>
    <xf numFmtId="167" fontId="18" fillId="0" borderId="0" xfId="2" applyFont="1"/>
    <xf numFmtId="167" fontId="19" fillId="0" borderId="0" xfId="2" applyFont="1"/>
    <xf numFmtId="167" fontId="18" fillId="0" borderId="0" xfId="2" applyFont="1" applyAlignment="1">
      <alignment horizontal="left"/>
    </xf>
    <xf numFmtId="49" fontId="18" fillId="0" borderId="0" xfId="1" applyNumberFormat="1" applyFont="1" applyFill="1" applyBorder="1" applyAlignment="1">
      <alignment horizontal="left"/>
    </xf>
    <xf numFmtId="40" fontId="2" fillId="0" borderId="0" xfId="1" applyNumberFormat="1" applyFont="1" applyAlignment="1">
      <alignment horizontal="right"/>
    </xf>
    <xf numFmtId="40" fontId="2" fillId="0" borderId="0" xfId="1" applyNumberFormat="1" applyFont="1" applyAlignment="1">
      <alignment horizontal="left"/>
    </xf>
    <xf numFmtId="40" fontId="1" fillId="0" borderId="0" xfId="1" applyNumberFormat="1" applyFont="1" applyAlignment="1">
      <alignment horizontal="left" vertical="center"/>
    </xf>
    <xf numFmtId="40" fontId="3" fillId="10" borderId="5" xfId="1" applyNumberFormat="1" applyFont="1" applyFill="1" applyBorder="1"/>
    <xf numFmtId="40" fontId="3" fillId="14" borderId="26" xfId="1" applyNumberFormat="1" applyFont="1" applyFill="1" applyBorder="1"/>
    <xf numFmtId="167" fontId="1" fillId="0" borderId="0" xfId="2" quotePrefix="1"/>
    <xf numFmtId="40" fontId="0" fillId="0" borderId="0" xfId="0" applyNumberFormat="1" applyAlignment="1">
      <alignment horizontal="left"/>
    </xf>
    <xf numFmtId="165" fontId="0" fillId="0" borderId="2" xfId="0" applyNumberFormat="1" applyBorder="1" applyAlignment="1">
      <alignment horizontal="right"/>
    </xf>
    <xf numFmtId="165" fontId="0" fillId="0" borderId="9" xfId="0" applyNumberFormat="1" applyBorder="1"/>
    <xf numFmtId="0" fontId="2" fillId="0" borderId="0" xfId="0" applyFont="1"/>
    <xf numFmtId="40" fontId="1" fillId="18" borderId="0" xfId="1" quotePrefix="1" applyNumberFormat="1" applyFont="1" applyFill="1" applyBorder="1" applyAlignment="1">
      <alignment horizontal="right"/>
    </xf>
    <xf numFmtId="40" fontId="1" fillId="19" borderId="0" xfId="1" applyNumberFormat="1" applyFont="1" applyFill="1" applyBorder="1" applyAlignment="1">
      <alignment horizontal="right"/>
    </xf>
    <xf numFmtId="40" fontId="0" fillId="19" borderId="0" xfId="0" applyNumberFormat="1" applyFill="1"/>
    <xf numFmtId="40" fontId="1" fillId="19" borderId="0" xfId="1" applyNumberFormat="1" applyFont="1" applyFill="1" applyBorder="1"/>
    <xf numFmtId="40" fontId="1" fillId="19" borderId="0" xfId="0" applyNumberFormat="1" applyFont="1" applyFill="1"/>
    <xf numFmtId="165" fontId="1" fillId="0" borderId="0" xfId="0" applyNumberFormat="1" applyFont="1"/>
    <xf numFmtId="165" fontId="0" fillId="0" borderId="7" xfId="0" quotePrefix="1" applyNumberFormat="1" applyBorder="1" applyAlignment="1">
      <alignment horizontal="right"/>
    </xf>
    <xf numFmtId="165" fontId="0" fillId="0" borderId="11" xfId="0" applyNumberFormat="1" applyBorder="1" applyAlignment="1">
      <alignment horizontal="right"/>
    </xf>
    <xf numFmtId="40" fontId="1" fillId="0" borderId="0" xfId="1" applyNumberFormat="1" applyFont="1" applyBorder="1"/>
    <xf numFmtId="38" fontId="0" fillId="0" borderId="0" xfId="1" applyNumberFormat="1" applyFont="1" applyAlignment="1">
      <alignment horizontal="right"/>
    </xf>
    <xf numFmtId="38" fontId="0" fillId="0" borderId="0" xfId="1" applyNumberFormat="1" applyFont="1"/>
    <xf numFmtId="0" fontId="1" fillId="0" borderId="0" xfId="0" quotePrefix="1" applyFont="1" applyAlignment="1">
      <alignment horizontal="center"/>
    </xf>
    <xf numFmtId="164" fontId="1" fillId="0" borderId="0" xfId="0" applyNumberFormat="1" applyFont="1" applyAlignment="1">
      <alignment horizontal="center"/>
    </xf>
    <xf numFmtId="165" fontId="1" fillId="0" borderId="3" xfId="0" applyNumberFormat="1" applyFont="1" applyBorder="1" applyAlignment="1">
      <alignment horizontal="right"/>
    </xf>
    <xf numFmtId="10" fontId="0" fillId="0" borderId="0" xfId="0" quotePrefix="1" applyNumberFormat="1" applyAlignment="1">
      <alignment horizontal="left"/>
    </xf>
    <xf numFmtId="40" fontId="1" fillId="20" borderId="0" xfId="1" quotePrefix="1" applyNumberFormat="1" applyFont="1" applyFill="1" applyBorder="1" applyAlignment="1">
      <alignment horizontal="right"/>
    </xf>
    <xf numFmtId="165" fontId="0" fillId="20" borderId="0" xfId="0" applyNumberFormat="1" applyFill="1"/>
    <xf numFmtId="40" fontId="0" fillId="6" borderId="0" xfId="0" applyNumberFormat="1" applyFill="1" applyAlignment="1">
      <alignment horizontal="right"/>
    </xf>
    <xf numFmtId="40" fontId="0" fillId="6" borderId="0" xfId="0" applyNumberFormat="1" applyFill="1" applyAlignment="1">
      <alignment horizontal="center"/>
    </xf>
    <xf numFmtId="40" fontId="0" fillId="6" borderId="14" xfId="0" applyNumberFormat="1" applyFill="1" applyBorder="1" applyAlignment="1">
      <alignment horizontal="right"/>
    </xf>
    <xf numFmtId="40" fontId="1" fillId="6" borderId="0" xfId="0" applyNumberFormat="1" applyFont="1" applyFill="1"/>
    <xf numFmtId="0" fontId="1" fillId="6" borderId="14" xfId="0" applyFont="1" applyFill="1" applyBorder="1" applyAlignment="1">
      <alignment horizontal="left"/>
    </xf>
    <xf numFmtId="0" fontId="2" fillId="6" borderId="0" xfId="0" applyFont="1" applyFill="1" applyAlignment="1">
      <alignment horizontal="left"/>
    </xf>
    <xf numFmtId="43" fontId="0" fillId="0" borderId="0" xfId="1" applyFont="1"/>
    <xf numFmtId="167" fontId="1" fillId="0" borderId="0" xfId="2" quotePrefix="1" applyAlignment="1">
      <alignment horizontal="right"/>
    </xf>
    <xf numFmtId="43" fontId="3" fillId="0" borderId="0" xfId="1" applyFont="1"/>
    <xf numFmtId="40" fontId="1" fillId="4" borderId="0" xfId="1" applyNumberFormat="1" applyFont="1" applyFill="1" applyAlignment="1">
      <alignment horizontal="center"/>
    </xf>
    <xf numFmtId="40" fontId="1" fillId="4" borderId="0" xfId="1" applyNumberFormat="1" applyFont="1" applyFill="1"/>
    <xf numFmtId="165" fontId="1" fillId="0" borderId="7" xfId="0" applyNumberFormat="1" applyFont="1" applyBorder="1" applyAlignment="1">
      <alignment horizontal="right"/>
    </xf>
    <xf numFmtId="165" fontId="0" fillId="0" borderId="12" xfId="0" applyNumberFormat="1" applyBorder="1" applyAlignment="1">
      <alignment horizontal="right"/>
    </xf>
    <xf numFmtId="38" fontId="0" fillId="0" borderId="7" xfId="0" applyNumberFormat="1" applyBorder="1" applyAlignment="1">
      <alignment horizontal="left"/>
    </xf>
    <xf numFmtId="165" fontId="0" fillId="0" borderId="28" xfId="0" applyNumberFormat="1" applyBorder="1"/>
    <xf numFmtId="165" fontId="1" fillId="0" borderId="4" xfId="0" quotePrefix="1" applyNumberFormat="1" applyFont="1" applyBorder="1" applyAlignment="1">
      <alignment horizontal="right"/>
    </xf>
    <xf numFmtId="165" fontId="1" fillId="0" borderId="7" xfId="0" applyNumberFormat="1" applyFont="1" applyBorder="1" applyAlignment="1">
      <alignment horizontal="left"/>
    </xf>
    <xf numFmtId="165" fontId="1" fillId="0" borderId="27" xfId="0" quotePrefix="1" applyNumberFormat="1" applyFont="1" applyBorder="1" applyAlignment="1">
      <alignment horizontal="right"/>
    </xf>
    <xf numFmtId="165" fontId="0" fillId="6" borderId="2" xfId="0" applyNumberFormat="1" applyFill="1" applyBorder="1"/>
    <xf numFmtId="165" fontId="0" fillId="6" borderId="4" xfId="0" quotePrefix="1" applyNumberFormat="1" applyFill="1" applyBorder="1" applyAlignment="1">
      <alignment horizontal="right"/>
    </xf>
    <xf numFmtId="38" fontId="1" fillId="0" borderId="0" xfId="0" applyNumberFormat="1" applyFont="1" applyAlignment="1">
      <alignment horizontal="right"/>
    </xf>
    <xf numFmtId="165" fontId="0" fillId="6" borderId="7" xfId="0" applyNumberFormat="1" applyFill="1" applyBorder="1"/>
    <xf numFmtId="165" fontId="0" fillId="0" borderId="4" xfId="0" quotePrefix="1" applyNumberFormat="1" applyBorder="1" applyAlignment="1">
      <alignment horizontal="center"/>
    </xf>
    <xf numFmtId="166" fontId="0" fillId="0" borderId="2" xfId="0" applyNumberFormat="1" applyBorder="1" applyAlignment="1">
      <alignment horizontal="center"/>
    </xf>
    <xf numFmtId="165" fontId="0" fillId="0" borderId="3" xfId="0" applyNumberFormat="1" applyBorder="1" applyAlignment="1">
      <alignment horizontal="center"/>
    </xf>
    <xf numFmtId="165" fontId="0" fillId="6" borderId="4" xfId="0" quotePrefix="1" applyNumberFormat="1" applyFill="1" applyBorder="1" applyAlignment="1">
      <alignment horizontal="center"/>
    </xf>
    <xf numFmtId="38" fontId="0" fillId="2" borderId="0" xfId="0" applyNumberFormat="1" applyFill="1" applyAlignment="1">
      <alignment horizontal="right"/>
    </xf>
    <xf numFmtId="38" fontId="0" fillId="2" borderId="0" xfId="0" applyNumberFormat="1" applyFill="1" applyAlignment="1">
      <alignment horizontal="center"/>
    </xf>
    <xf numFmtId="38" fontId="0" fillId="9" borderId="0" xfId="0" applyNumberFormat="1" applyFill="1" applyAlignment="1">
      <alignment horizontal="right"/>
    </xf>
    <xf numFmtId="165" fontId="0" fillId="9" borderId="0" xfId="0" applyNumberFormat="1" applyFill="1" applyAlignment="1">
      <alignment horizontal="right"/>
    </xf>
    <xf numFmtId="3" fontId="0" fillId="4" borderId="0" xfId="0" applyNumberFormat="1" applyFill="1"/>
    <xf numFmtId="3" fontId="0" fillId="4" borderId="28" xfId="0" applyNumberFormat="1" applyFill="1" applyBorder="1"/>
    <xf numFmtId="38" fontId="0" fillId="8" borderId="0" xfId="0" applyNumberFormat="1" applyFill="1" applyAlignment="1">
      <alignment horizontal="right"/>
    </xf>
    <xf numFmtId="165" fontId="2" fillId="0" borderId="0" xfId="0" applyNumberFormat="1" applyFont="1" applyAlignment="1">
      <alignment horizontal="right"/>
    </xf>
    <xf numFmtId="165" fontId="2" fillId="0" borderId="0" xfId="0" quotePrefix="1" applyNumberFormat="1" applyFont="1" applyAlignment="1">
      <alignment horizontal="center"/>
    </xf>
    <xf numFmtId="38" fontId="1" fillId="8" borderId="0" xfId="0" applyNumberFormat="1" applyFont="1" applyFill="1" applyAlignment="1">
      <alignment horizontal="center"/>
    </xf>
    <xf numFmtId="165" fontId="2" fillId="3" borderId="0" xfId="0" applyNumberFormat="1" applyFont="1" applyFill="1" applyAlignment="1">
      <alignment horizontal="right"/>
    </xf>
    <xf numFmtId="165" fontId="0" fillId="4" borderId="2" xfId="0" applyNumberFormat="1" applyFill="1" applyBorder="1"/>
    <xf numFmtId="38" fontId="0" fillId="2" borderId="5" xfId="0" applyNumberFormat="1" applyFill="1" applyBorder="1" applyAlignment="1">
      <alignment horizontal="center"/>
    </xf>
    <xf numFmtId="38" fontId="0" fillId="2" borderId="11" xfId="0" applyNumberFormat="1" applyFill="1" applyBorder="1" applyAlignment="1">
      <alignment horizontal="center"/>
    </xf>
    <xf numFmtId="165" fontId="2" fillId="0" borderId="7" xfId="0" quotePrefix="1" applyNumberFormat="1" applyFont="1" applyBorder="1" applyAlignment="1">
      <alignment horizontal="center"/>
    </xf>
    <xf numFmtId="165" fontId="2" fillId="0" borderId="5" xfId="0" quotePrefix="1" applyNumberFormat="1" applyFont="1" applyBorder="1" applyAlignment="1">
      <alignment horizontal="center"/>
    </xf>
    <xf numFmtId="165" fontId="2" fillId="0" borderId="11" xfId="0" quotePrefix="1" applyNumberFormat="1" applyFont="1" applyBorder="1" applyAlignment="1">
      <alignment horizontal="center"/>
    </xf>
    <xf numFmtId="38" fontId="1" fillId="8" borderId="7" xfId="0" applyNumberFormat="1" applyFont="1" applyFill="1" applyBorder="1" applyAlignment="1">
      <alignment horizontal="center"/>
    </xf>
    <xf numFmtId="38" fontId="1" fillId="8" borderId="5" xfId="0" applyNumberFormat="1" applyFont="1" applyFill="1" applyBorder="1" applyAlignment="1">
      <alignment horizontal="center"/>
    </xf>
    <xf numFmtId="38" fontId="1" fillId="8" borderId="11" xfId="0" applyNumberFormat="1" applyFont="1" applyFill="1" applyBorder="1" applyAlignment="1">
      <alignment horizontal="center"/>
    </xf>
    <xf numFmtId="167" fontId="1" fillId="10" borderId="0" xfId="2" applyFill="1" applyAlignment="1">
      <alignment horizontal="center"/>
    </xf>
    <xf numFmtId="167" fontId="1" fillId="10" borderId="19" xfId="2" applyFill="1" applyBorder="1" applyAlignment="1">
      <alignment horizontal="center"/>
    </xf>
  </cellXfs>
  <cellStyles count="4">
    <cellStyle name="Comma" xfId="1" builtinId="3"/>
    <cellStyle name="Normal" xfId="0" builtinId="0"/>
    <cellStyle name="Normal 2" xfId="2" xr:uid="{1A265DE3-2C02-4998-B2B5-AF43DE7BE553}"/>
    <cellStyle name="Normal 4" xfId="3" xr:uid="{B9B02C25-C261-499D-A383-1663CF3D02C9}"/>
  </cellStyles>
  <dxfs count="169">
    <dxf>
      <fill>
        <patternFill>
          <bgColor rgb="FFFF99CC"/>
        </patternFill>
      </fill>
    </dxf>
    <dxf>
      <font>
        <color rgb="FF9C0006"/>
      </font>
      <fill>
        <patternFill>
          <bgColor rgb="FFFFC7CE"/>
        </patternFill>
      </fill>
    </dxf>
    <dxf>
      <fill>
        <patternFill>
          <bgColor rgb="FFFF99CC"/>
        </patternFill>
      </fill>
    </dxf>
    <dxf>
      <fill>
        <patternFill>
          <bgColor rgb="FFFF99C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P:\FinAff\GCL\Reconcile\FY2024\Bond2022A%208-14-23.xlsx" TargetMode="External"/><Relationship Id="rId1" Type="http://schemas.openxmlformats.org/officeDocument/2006/relationships/externalLinkPath" Target="/FinAff/GCL/Reconcile/FY2024/Bond2022A%208-14-23.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P:\FinAff\4ichun\Bond2021A%20CHECK%2020230420.xlsx" TargetMode="External"/><Relationship Id="rId1" Type="http://schemas.openxmlformats.org/officeDocument/2006/relationships/externalLinkPath" Target="/FinAff/4ichun/Bond2021A%20CHECK%2020230420.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P:\FinAff\GCL\Reconcile\FY2023\Bond2022A%20-%2012-2022%20revised.xlsx" TargetMode="External"/><Relationship Id="rId1" Type="http://schemas.openxmlformats.org/officeDocument/2006/relationships/externalLinkPath" Target="/FinAff/GCL/Reconcile/FY2023/Bond2022A%20-%2012-2022%20revised.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P:\FinAff\GCL\Reconcile\FY2024\Bond2022A%202-14-24%20(FY14%202nd%20Debt).xlsx" TargetMode="External"/><Relationship Id="rId1" Type="http://schemas.openxmlformats.org/officeDocument/2006/relationships/externalLinkPath" Target="/FinAff/GCL/Reconcile/FY2024/Bond2022A%202-14-24%20(FY14%202nd%20Debt).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P:\Cindy\Cindy's%20Schedule\Bond2022A%20Final%20Percentage.xlsx" TargetMode="External"/><Relationship Id="rId1" Type="http://schemas.openxmlformats.org/officeDocument/2006/relationships/externalLinkPath" Target="/Cindy/Cindy's%20Schedule/Bond2022A%20Final%20Percentag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ES"/>
      <sheetName val="UMBI"/>
      <sheetName val="UMBC"/>
      <sheetName val="UMBC-UMBI"/>
      <sheetName val="UMCES"/>
      <sheetName val="BSU"/>
      <sheetName val="CSU"/>
      <sheetName val="FSU"/>
      <sheetName val="SU"/>
      <sheetName val="TU"/>
      <sheetName val="UB"/>
      <sheetName val="USM &amp; COI"/>
      <sheetName val="FR using 20-yr Bond"/>
      <sheetName val="Emergency Funds"/>
      <sheetName val="FR using 10-yr Bond"/>
      <sheetName val="Payment Activities"/>
      <sheetName val="acct balance"/>
      <sheetName val="ck"/>
      <sheetName val="Sheet3"/>
      <sheetName val="Sheet1"/>
      <sheetName val="Sheet2"/>
    </sheetNames>
    <sheetDataSet>
      <sheetData sheetId="0"/>
      <sheetData sheetId="1">
        <row r="7">
          <cell r="F7">
            <v>130000</v>
          </cell>
          <cell r="H7">
            <v>0</v>
          </cell>
          <cell r="J7">
            <v>0</v>
          </cell>
          <cell r="K7">
            <v>0</v>
          </cell>
        </row>
        <row r="15">
          <cell r="F15">
            <v>0</v>
          </cell>
          <cell r="H15">
            <v>0</v>
          </cell>
          <cell r="K15">
            <v>0</v>
          </cell>
        </row>
        <row r="30">
          <cell r="F30">
            <v>9391988</v>
          </cell>
          <cell r="H30">
            <v>0</v>
          </cell>
        </row>
        <row r="64">
          <cell r="F64">
            <v>7265970.1899999995</v>
          </cell>
          <cell r="H64">
            <v>5213380.0100000016</v>
          </cell>
        </row>
        <row r="90">
          <cell r="F90">
            <v>7300000</v>
          </cell>
          <cell r="H90">
            <v>7300000</v>
          </cell>
          <cell r="J90">
            <v>0</v>
          </cell>
          <cell r="K90">
            <v>0</v>
          </cell>
        </row>
        <row r="108">
          <cell r="F108">
            <v>0</v>
          </cell>
          <cell r="H108">
            <v>0</v>
          </cell>
          <cell r="K108">
            <v>0</v>
          </cell>
        </row>
        <row r="126">
          <cell r="F126">
            <v>0</v>
          </cell>
          <cell r="H126">
            <v>0</v>
          </cell>
          <cell r="I126">
            <v>0</v>
          </cell>
          <cell r="J126">
            <v>0</v>
          </cell>
          <cell r="K126">
            <v>0</v>
          </cell>
        </row>
        <row r="130">
          <cell r="F130">
            <v>5000000</v>
          </cell>
          <cell r="H130">
            <v>0</v>
          </cell>
        </row>
        <row r="140">
          <cell r="F140">
            <v>2152130.31</v>
          </cell>
          <cell r="H140">
            <v>309701.17000000004</v>
          </cell>
        </row>
        <row r="164">
          <cell r="F164">
            <v>4377245.3600000003</v>
          </cell>
          <cell r="H164">
            <v>1280379.5999999999</v>
          </cell>
          <cell r="J164">
            <v>0</v>
          </cell>
          <cell r="K164">
            <v>0</v>
          </cell>
        </row>
        <row r="177">
          <cell r="F177">
            <v>3454592.8500000006</v>
          </cell>
          <cell r="H177">
            <v>30672.97</v>
          </cell>
          <cell r="K177">
            <v>0</v>
          </cell>
        </row>
        <row r="191">
          <cell r="F191">
            <v>0</v>
          </cell>
          <cell r="H191">
            <v>0</v>
          </cell>
          <cell r="I191">
            <v>0</v>
          </cell>
          <cell r="J191">
            <v>0</v>
          </cell>
          <cell r="K191">
            <v>0</v>
          </cell>
        </row>
        <row r="196">
          <cell r="F196">
            <v>0</v>
          </cell>
          <cell r="H196">
            <v>0</v>
          </cell>
          <cell r="J196">
            <v>0</v>
          </cell>
          <cell r="K196">
            <v>0</v>
          </cell>
        </row>
        <row r="201">
          <cell r="F201">
            <v>0</v>
          </cell>
          <cell r="H201">
            <v>0</v>
          </cell>
          <cell r="J201">
            <v>0</v>
          </cell>
          <cell r="K201">
            <v>0</v>
          </cell>
        </row>
        <row r="209">
          <cell r="F209">
            <v>0</v>
          </cell>
          <cell r="H209">
            <v>0</v>
          </cell>
          <cell r="J209">
            <v>0</v>
          </cell>
          <cell r="K209">
            <v>0</v>
          </cell>
        </row>
        <row r="216">
          <cell r="F216">
            <v>8000000</v>
          </cell>
          <cell r="H216">
            <v>0</v>
          </cell>
        </row>
        <row r="231">
          <cell r="F231">
            <v>-3.2596290111541748E-9</v>
          </cell>
          <cell r="H231">
            <v>0</v>
          </cell>
          <cell r="I231">
            <v>0</v>
          </cell>
          <cell r="J231">
            <v>0</v>
          </cell>
          <cell r="K231">
            <v>0</v>
          </cell>
        </row>
        <row r="236">
          <cell r="F236">
            <v>6850000</v>
          </cell>
          <cell r="H236">
            <v>0</v>
          </cell>
        </row>
        <row r="241">
          <cell r="F241">
            <v>1500000</v>
          </cell>
          <cell r="H241">
            <v>0</v>
          </cell>
          <cell r="I241">
            <v>0</v>
          </cell>
          <cell r="J241">
            <v>0</v>
          </cell>
          <cell r="K241">
            <v>0</v>
          </cell>
        </row>
        <row r="274">
          <cell r="F274">
            <v>25000000</v>
          </cell>
          <cell r="H274">
            <v>24648776.460000008</v>
          </cell>
          <cell r="J274">
            <v>0</v>
          </cell>
          <cell r="K274">
            <v>0</v>
          </cell>
        </row>
        <row r="285">
          <cell r="F285">
            <v>467976.91999999993</v>
          </cell>
          <cell r="H285">
            <v>467976.92</v>
          </cell>
          <cell r="K285">
            <v>0</v>
          </cell>
        </row>
        <row r="295">
          <cell r="F295">
            <v>0</v>
          </cell>
          <cell r="H295">
            <v>0</v>
          </cell>
          <cell r="I295">
            <v>0</v>
          </cell>
          <cell r="J295">
            <v>0</v>
          </cell>
          <cell r="K295">
            <v>0</v>
          </cell>
        </row>
        <row r="301">
          <cell r="F301">
            <v>1528244.52</v>
          </cell>
          <cell r="H301">
            <v>0</v>
          </cell>
          <cell r="I301">
            <v>0</v>
          </cell>
          <cell r="J301">
            <v>0</v>
          </cell>
          <cell r="K301">
            <v>0</v>
          </cell>
        </row>
        <row r="309">
          <cell r="F309">
            <v>15000000</v>
          </cell>
          <cell r="H309">
            <v>15000000</v>
          </cell>
          <cell r="J309">
            <v>0</v>
          </cell>
          <cell r="K309">
            <v>0</v>
          </cell>
        </row>
        <row r="317">
          <cell r="F317">
            <v>4000000</v>
          </cell>
          <cell r="H317">
            <v>4000000</v>
          </cell>
          <cell r="K317">
            <v>0</v>
          </cell>
        </row>
        <row r="326">
          <cell r="F326">
            <v>5671525.9100000001</v>
          </cell>
          <cell r="H326">
            <v>5671525.9100000001</v>
          </cell>
          <cell r="I326">
            <v>0</v>
          </cell>
          <cell r="J326">
            <v>0</v>
          </cell>
          <cell r="K326">
            <v>0</v>
          </cell>
        </row>
        <row r="334">
          <cell r="F334">
            <v>0</v>
          </cell>
          <cell r="H334">
            <v>0</v>
          </cell>
          <cell r="I334">
            <v>0</v>
          </cell>
          <cell r="J334">
            <v>0</v>
          </cell>
          <cell r="K334">
            <v>0</v>
          </cell>
        </row>
        <row r="344">
          <cell r="F344">
            <v>0</v>
          </cell>
          <cell r="H344">
            <v>0</v>
          </cell>
          <cell r="K344">
            <v>0</v>
          </cell>
        </row>
      </sheetData>
      <sheetData sheetId="2">
        <row r="13">
          <cell r="F13">
            <v>4912729</v>
          </cell>
          <cell r="H13">
            <v>40614.199999999997</v>
          </cell>
        </row>
        <row r="22">
          <cell r="F22">
            <v>4996400</v>
          </cell>
          <cell r="H22">
            <v>0</v>
          </cell>
        </row>
        <row r="45">
          <cell r="F45">
            <v>3789633.93</v>
          </cell>
          <cell r="H45">
            <v>1639383.8299999998</v>
          </cell>
          <cell r="J45">
            <v>0</v>
          </cell>
          <cell r="K45">
            <v>0</v>
          </cell>
        </row>
        <row r="98">
          <cell r="F98">
            <v>4756197.12</v>
          </cell>
          <cell r="H98">
            <v>2253783.9700000002</v>
          </cell>
          <cell r="J98">
            <v>0</v>
          </cell>
          <cell r="K98">
            <v>0</v>
          </cell>
        </row>
        <row r="117">
          <cell r="F117">
            <v>1359955.46</v>
          </cell>
          <cell r="H117">
            <v>719427.3600000001</v>
          </cell>
        </row>
        <row r="140">
          <cell r="F140">
            <v>2160425.39</v>
          </cell>
          <cell r="H140">
            <v>1456842.43</v>
          </cell>
          <cell r="I140">
            <v>0</v>
          </cell>
          <cell r="J140">
            <v>0</v>
          </cell>
          <cell r="K140">
            <v>0</v>
          </cell>
        </row>
        <row r="160">
          <cell r="F160">
            <v>1826886.38</v>
          </cell>
          <cell r="H160">
            <v>1014428.9500000001</v>
          </cell>
          <cell r="I160">
            <v>0</v>
          </cell>
          <cell r="J160">
            <v>0</v>
          </cell>
          <cell r="K160">
            <v>0</v>
          </cell>
        </row>
        <row r="182">
          <cell r="F182">
            <v>1934853.7800000003</v>
          </cell>
          <cell r="H182">
            <v>945312.5199999999</v>
          </cell>
          <cell r="I182">
            <v>0</v>
          </cell>
          <cell r="J182">
            <v>0</v>
          </cell>
          <cell r="K182">
            <v>0</v>
          </cell>
        </row>
        <row r="211">
          <cell r="F211">
            <v>1592261.0099999995</v>
          </cell>
          <cell r="H211">
            <v>1142422.08</v>
          </cell>
          <cell r="I211">
            <v>0</v>
          </cell>
          <cell r="J211">
            <v>0</v>
          </cell>
          <cell r="K211">
            <v>0</v>
          </cell>
        </row>
        <row r="228">
          <cell r="F228">
            <v>89533.010000000111</v>
          </cell>
          <cell r="H228">
            <v>89533.01</v>
          </cell>
          <cell r="I228">
            <v>0</v>
          </cell>
          <cell r="J228">
            <v>0</v>
          </cell>
          <cell r="K228">
            <v>0</v>
          </cell>
        </row>
        <row r="248">
          <cell r="F248">
            <v>16004.889999999719</v>
          </cell>
          <cell r="H248">
            <v>16004.89</v>
          </cell>
          <cell r="I248">
            <v>0</v>
          </cell>
          <cell r="J248">
            <v>0</v>
          </cell>
          <cell r="K248">
            <v>0</v>
          </cell>
        </row>
        <row r="266">
          <cell r="F266">
            <v>65342.709999999992</v>
          </cell>
          <cell r="H266">
            <v>65342.71</v>
          </cell>
          <cell r="I266">
            <v>0</v>
          </cell>
          <cell r="J266">
            <v>0</v>
          </cell>
          <cell r="K266">
            <v>0</v>
          </cell>
        </row>
        <row r="289">
          <cell r="F289">
            <v>87837.970000000059</v>
          </cell>
          <cell r="H289">
            <v>87837.97</v>
          </cell>
          <cell r="I289">
            <v>0</v>
          </cell>
          <cell r="J289">
            <v>0</v>
          </cell>
          <cell r="K289">
            <v>0</v>
          </cell>
        </row>
        <row r="310">
          <cell r="F310">
            <v>11117.15999999992</v>
          </cell>
          <cell r="H310">
            <v>11117.16</v>
          </cell>
        </row>
        <row r="333">
          <cell r="F333">
            <v>14969.809999999772</v>
          </cell>
          <cell r="H333">
            <v>14969.81</v>
          </cell>
        </row>
        <row r="365">
          <cell r="F365">
            <v>13859.099999999868</v>
          </cell>
          <cell r="H365">
            <v>13859.1</v>
          </cell>
          <cell r="I365">
            <v>0</v>
          </cell>
          <cell r="J365">
            <v>0</v>
          </cell>
          <cell r="K365">
            <v>0</v>
          </cell>
        </row>
        <row r="384">
          <cell r="F384">
            <v>2700000</v>
          </cell>
          <cell r="H384">
            <v>0</v>
          </cell>
          <cell r="J384">
            <v>0</v>
          </cell>
          <cell r="K384">
            <v>0</v>
          </cell>
        </row>
      </sheetData>
      <sheetData sheetId="3">
        <row r="10">
          <cell r="F10">
            <v>0</v>
          </cell>
          <cell r="H10">
            <v>0</v>
          </cell>
          <cell r="I10">
            <v>0</v>
          </cell>
          <cell r="J10">
            <v>0</v>
          </cell>
          <cell r="K10">
            <v>0</v>
          </cell>
        </row>
        <row r="19">
          <cell r="F19">
            <v>91304.389999999985</v>
          </cell>
          <cell r="H19">
            <v>0</v>
          </cell>
          <cell r="J19">
            <v>0</v>
          </cell>
          <cell r="K19">
            <v>0</v>
          </cell>
        </row>
        <row r="24">
          <cell r="F24">
            <v>200000</v>
          </cell>
          <cell r="H24">
            <v>0</v>
          </cell>
        </row>
        <row r="31">
          <cell r="F31">
            <v>0</v>
          </cell>
          <cell r="H31">
            <v>0</v>
          </cell>
        </row>
        <row r="36">
          <cell r="F36">
            <v>700000</v>
          </cell>
          <cell r="H36">
            <v>0</v>
          </cell>
          <cell r="J36">
            <v>0</v>
          </cell>
          <cell r="K36">
            <v>0</v>
          </cell>
        </row>
        <row r="41">
          <cell r="F41">
            <v>1244579</v>
          </cell>
          <cell r="H41">
            <v>0</v>
          </cell>
        </row>
        <row r="54">
          <cell r="F54">
            <v>893375</v>
          </cell>
          <cell r="H54">
            <v>404147</v>
          </cell>
        </row>
        <row r="61">
          <cell r="F61">
            <v>988163.04</v>
          </cell>
          <cell r="H61">
            <v>21886.49</v>
          </cell>
          <cell r="J61">
            <v>0</v>
          </cell>
          <cell r="K61">
            <v>0</v>
          </cell>
        </row>
        <row r="71">
          <cell r="F71">
            <v>563795</v>
          </cell>
          <cell r="H71">
            <v>424374.56</v>
          </cell>
          <cell r="K71">
            <v>0</v>
          </cell>
        </row>
        <row r="78">
          <cell r="F78">
            <v>2200</v>
          </cell>
          <cell r="H78">
            <v>0</v>
          </cell>
          <cell r="I78">
            <v>0</v>
          </cell>
          <cell r="J78">
            <v>0</v>
          </cell>
          <cell r="K78">
            <v>0</v>
          </cell>
        </row>
        <row r="99">
          <cell r="F99">
            <v>641167.72</v>
          </cell>
          <cell r="H99">
            <v>480467.08000000007</v>
          </cell>
          <cell r="I99">
            <v>0</v>
          </cell>
          <cell r="J99">
            <v>0</v>
          </cell>
          <cell r="K99">
            <v>0</v>
          </cell>
        </row>
        <row r="109">
          <cell r="F109">
            <v>279656.52</v>
          </cell>
          <cell r="H109">
            <v>1473.29</v>
          </cell>
          <cell r="I109">
            <v>0</v>
          </cell>
          <cell r="J109">
            <v>0</v>
          </cell>
          <cell r="K109">
            <v>0</v>
          </cell>
        </row>
        <row r="117">
          <cell r="F117">
            <v>-4.1836756281554699E-11</v>
          </cell>
          <cell r="H117">
            <v>0</v>
          </cell>
          <cell r="I117">
            <v>0</v>
          </cell>
          <cell r="J117">
            <v>0</v>
          </cell>
          <cell r="K117">
            <v>0</v>
          </cell>
        </row>
        <row r="124">
          <cell r="F124">
            <v>-1.8644641386345029E-11</v>
          </cell>
          <cell r="H124">
            <v>0</v>
          </cell>
          <cell r="I124">
            <v>0</v>
          </cell>
          <cell r="J124">
            <v>0</v>
          </cell>
          <cell r="K124">
            <v>0</v>
          </cell>
        </row>
        <row r="129">
          <cell r="F129">
            <v>2192000</v>
          </cell>
          <cell r="H129">
            <v>0</v>
          </cell>
        </row>
        <row r="144">
          <cell r="F144">
            <v>7458270.3500000006</v>
          </cell>
          <cell r="H144">
            <v>1399881.2299999997</v>
          </cell>
        </row>
        <row r="151">
          <cell r="F151">
            <v>0</v>
          </cell>
          <cell r="H151">
            <v>0</v>
          </cell>
          <cell r="I151">
            <v>0</v>
          </cell>
          <cell r="J151">
            <v>0</v>
          </cell>
          <cell r="K151">
            <v>0</v>
          </cell>
        </row>
        <row r="161">
          <cell r="F161">
            <v>3867248.6600000006</v>
          </cell>
          <cell r="H161">
            <v>802730.79</v>
          </cell>
          <cell r="I161">
            <v>0</v>
          </cell>
          <cell r="J161">
            <v>0</v>
          </cell>
          <cell r="K161">
            <v>0</v>
          </cell>
        </row>
        <row r="171">
          <cell r="F171">
            <v>367810.92000000004</v>
          </cell>
          <cell r="H171">
            <v>285393.71999999997</v>
          </cell>
          <cell r="J171">
            <v>0</v>
          </cell>
          <cell r="K171">
            <v>0</v>
          </cell>
        </row>
        <row r="176">
          <cell r="F176">
            <v>800000</v>
          </cell>
          <cell r="H176">
            <v>0</v>
          </cell>
          <cell r="I176">
            <v>0</v>
          </cell>
          <cell r="J176">
            <v>0</v>
          </cell>
          <cell r="K176">
            <v>0</v>
          </cell>
        </row>
      </sheetData>
      <sheetData sheetId="4">
        <row r="65">
          <cell r="F65">
            <v>0</v>
          </cell>
          <cell r="H65">
            <v>0</v>
          </cell>
          <cell r="I65">
            <v>0</v>
          </cell>
          <cell r="J65">
            <v>0</v>
          </cell>
          <cell r="K65">
            <v>0</v>
          </cell>
        </row>
      </sheetData>
      <sheetData sheetId="5">
        <row r="8">
          <cell r="F8">
            <v>2283810</v>
          </cell>
          <cell r="H8">
            <v>0</v>
          </cell>
        </row>
        <row r="13">
          <cell r="F13">
            <v>2341242</v>
          </cell>
          <cell r="H13">
            <v>0</v>
          </cell>
        </row>
        <row r="36">
          <cell r="F36">
            <v>1758802.88</v>
          </cell>
          <cell r="H36">
            <v>266790</v>
          </cell>
          <cell r="J36">
            <v>0</v>
          </cell>
          <cell r="K36">
            <v>0</v>
          </cell>
        </row>
        <row r="42">
          <cell r="F42">
            <v>1081882</v>
          </cell>
          <cell r="H42">
            <v>0</v>
          </cell>
        </row>
        <row r="57">
          <cell r="F57">
            <v>1376135.75</v>
          </cell>
          <cell r="H57">
            <v>134506.43000000002</v>
          </cell>
          <cell r="I57">
            <v>0</v>
          </cell>
          <cell r="J57">
            <v>0</v>
          </cell>
          <cell r="K57">
            <v>0</v>
          </cell>
        </row>
        <row r="73">
          <cell r="F73">
            <v>1018734.72</v>
          </cell>
          <cell r="H73">
            <v>155222.82999999999</v>
          </cell>
          <cell r="I73">
            <v>0</v>
          </cell>
          <cell r="J73">
            <v>0</v>
          </cell>
          <cell r="K73">
            <v>0</v>
          </cell>
        </row>
        <row r="82">
          <cell r="F82">
            <v>1443819.8700000003</v>
          </cell>
          <cell r="H82">
            <v>2814.5699999999997</v>
          </cell>
          <cell r="I82">
            <v>0</v>
          </cell>
          <cell r="J82">
            <v>0</v>
          </cell>
          <cell r="K82">
            <v>0</v>
          </cell>
        </row>
        <row r="88">
          <cell r="F88">
            <v>0</v>
          </cell>
          <cell r="H88">
            <v>0</v>
          </cell>
          <cell r="I88">
            <v>0</v>
          </cell>
          <cell r="J88">
            <v>0</v>
          </cell>
          <cell r="K88">
            <v>0</v>
          </cell>
        </row>
        <row r="102">
          <cell r="F102">
            <v>0</v>
          </cell>
          <cell r="H102">
            <v>0</v>
          </cell>
          <cell r="K102">
            <v>0</v>
          </cell>
        </row>
        <row r="129">
          <cell r="F129">
            <v>0</v>
          </cell>
          <cell r="H129">
            <v>0</v>
          </cell>
          <cell r="I129">
            <v>0</v>
          </cell>
          <cell r="J129">
            <v>0</v>
          </cell>
          <cell r="K129">
            <v>0</v>
          </cell>
        </row>
        <row r="135">
          <cell r="F135">
            <v>0</v>
          </cell>
          <cell r="H135">
            <v>0</v>
          </cell>
        </row>
        <row r="142">
          <cell r="F142">
            <v>0</v>
          </cell>
          <cell r="H142">
            <v>0</v>
          </cell>
        </row>
      </sheetData>
      <sheetData sheetId="6"/>
      <sheetData sheetId="7">
        <row r="8">
          <cell r="F8">
            <v>284107</v>
          </cell>
          <cell r="H8">
            <v>0</v>
          </cell>
        </row>
        <row r="13">
          <cell r="F13">
            <v>358037</v>
          </cell>
          <cell r="H13">
            <v>0</v>
          </cell>
        </row>
        <row r="20">
          <cell r="F20">
            <v>317000</v>
          </cell>
          <cell r="H20">
            <v>216168.12</v>
          </cell>
          <cell r="J20">
            <v>0</v>
          </cell>
          <cell r="K20">
            <v>0</v>
          </cell>
        </row>
        <row r="26">
          <cell r="F26">
            <v>206031</v>
          </cell>
          <cell r="H26">
            <v>0</v>
          </cell>
        </row>
      </sheetData>
      <sheetData sheetId="8">
        <row r="8">
          <cell r="F8">
            <v>936895</v>
          </cell>
          <cell r="H8">
            <v>0</v>
          </cell>
        </row>
        <row r="17">
          <cell r="F17">
            <v>857383</v>
          </cell>
          <cell r="H17">
            <v>309815.93</v>
          </cell>
        </row>
        <row r="36">
          <cell r="F36">
            <v>1508994</v>
          </cell>
          <cell r="H36">
            <v>1508994</v>
          </cell>
          <cell r="J36">
            <v>0</v>
          </cell>
          <cell r="K36">
            <v>0</v>
          </cell>
        </row>
        <row r="51">
          <cell r="F51">
            <v>19525.149999999965</v>
          </cell>
          <cell r="H51">
            <v>19525.150000000001</v>
          </cell>
          <cell r="K51">
            <v>0</v>
          </cell>
        </row>
        <row r="60">
          <cell r="F60">
            <v>160452.45999999996</v>
          </cell>
          <cell r="H60">
            <v>160452.46</v>
          </cell>
          <cell r="I60">
            <v>0</v>
          </cell>
          <cell r="J60">
            <v>0</v>
          </cell>
          <cell r="K60">
            <v>0</v>
          </cell>
        </row>
        <row r="76">
          <cell r="F76">
            <v>351872.02</v>
          </cell>
          <cell r="H76">
            <v>351872.02</v>
          </cell>
          <cell r="I76">
            <v>0</v>
          </cell>
          <cell r="J76">
            <v>0</v>
          </cell>
          <cell r="K76">
            <v>0</v>
          </cell>
        </row>
        <row r="88">
          <cell r="F88">
            <v>73984.890000000014</v>
          </cell>
          <cell r="H88">
            <v>73984.89</v>
          </cell>
          <cell r="I88">
            <v>0</v>
          </cell>
          <cell r="J88">
            <v>0</v>
          </cell>
          <cell r="K88">
            <v>0</v>
          </cell>
        </row>
      </sheetData>
      <sheetData sheetId="9">
        <row r="8">
          <cell r="F8">
            <v>664609</v>
          </cell>
          <cell r="H8">
            <v>0</v>
          </cell>
        </row>
        <row r="16">
          <cell r="F16">
            <v>564649</v>
          </cell>
          <cell r="H16">
            <v>161371.20000000001</v>
          </cell>
        </row>
        <row r="32">
          <cell r="F32">
            <v>429133</v>
          </cell>
          <cell r="H32">
            <v>405926.88</v>
          </cell>
          <cell r="J32">
            <v>0</v>
          </cell>
          <cell r="K32">
            <v>0</v>
          </cell>
        </row>
        <row r="47">
          <cell r="F47">
            <v>258086.28999999998</v>
          </cell>
          <cell r="H47">
            <v>258086.28999999998</v>
          </cell>
          <cell r="K47">
            <v>0</v>
          </cell>
        </row>
        <row r="56">
          <cell r="F56">
            <v>0</v>
          </cell>
          <cell r="H56">
            <v>0</v>
          </cell>
          <cell r="I56">
            <v>0</v>
          </cell>
          <cell r="J56">
            <v>0</v>
          </cell>
          <cell r="K56">
            <v>0</v>
          </cell>
        </row>
        <row r="66">
          <cell r="F66">
            <v>0</v>
          </cell>
          <cell r="H66">
            <v>0</v>
          </cell>
          <cell r="I66">
            <v>0</v>
          </cell>
          <cell r="J66">
            <v>0</v>
          </cell>
          <cell r="K66">
            <v>0</v>
          </cell>
        </row>
      </sheetData>
      <sheetData sheetId="10">
        <row r="8">
          <cell r="F8">
            <v>551730</v>
          </cell>
          <cell r="H8">
            <v>0</v>
          </cell>
        </row>
        <row r="32">
          <cell r="F32">
            <v>512710</v>
          </cell>
          <cell r="H32">
            <v>377295.20999999996</v>
          </cell>
        </row>
        <row r="58">
          <cell r="F58">
            <v>623915</v>
          </cell>
          <cell r="H58">
            <v>623399.90000000014</v>
          </cell>
          <cell r="J58">
            <v>0</v>
          </cell>
          <cell r="K58">
            <v>0</v>
          </cell>
        </row>
        <row r="76">
          <cell r="F76">
            <v>282959.27</v>
          </cell>
          <cell r="H76">
            <v>282959.26999999996</v>
          </cell>
          <cell r="K76">
            <v>0</v>
          </cell>
        </row>
        <row r="91">
          <cell r="F91">
            <v>212943.80000000005</v>
          </cell>
          <cell r="H91">
            <v>212943.8</v>
          </cell>
          <cell r="I91">
            <v>0</v>
          </cell>
          <cell r="J91">
            <v>0</v>
          </cell>
          <cell r="K91">
            <v>0</v>
          </cell>
        </row>
        <row r="104">
          <cell r="F104">
            <v>64230.809999999969</v>
          </cell>
          <cell r="H104">
            <v>64230.810000000005</v>
          </cell>
          <cell r="I104">
            <v>0</v>
          </cell>
          <cell r="J104">
            <v>0</v>
          </cell>
          <cell r="K104">
            <v>0</v>
          </cell>
        </row>
        <row r="118">
          <cell r="F118">
            <v>33258.359999999986</v>
          </cell>
          <cell r="H118">
            <v>33258.36</v>
          </cell>
          <cell r="I118">
            <v>0</v>
          </cell>
          <cell r="J118">
            <v>0</v>
          </cell>
          <cell r="K118">
            <v>0</v>
          </cell>
        </row>
        <row r="131">
          <cell r="F131">
            <v>44154.119999999995</v>
          </cell>
          <cell r="H131">
            <v>44154.12</v>
          </cell>
          <cell r="I131">
            <v>0</v>
          </cell>
          <cell r="J131">
            <v>0</v>
          </cell>
          <cell r="K131">
            <v>0</v>
          </cell>
        </row>
        <row r="143">
          <cell r="F143">
            <v>9878.9700000000448</v>
          </cell>
          <cell r="H143">
            <v>9878.9699999999993</v>
          </cell>
          <cell r="I143">
            <v>0</v>
          </cell>
          <cell r="J143">
            <v>0</v>
          </cell>
          <cell r="K143">
            <v>0</v>
          </cell>
        </row>
        <row r="166">
          <cell r="F166">
            <v>3895949.43</v>
          </cell>
          <cell r="H166">
            <v>282946.76</v>
          </cell>
        </row>
        <row r="183">
          <cell r="F183">
            <v>3653846.1400000011</v>
          </cell>
          <cell r="H183">
            <v>90028.61</v>
          </cell>
          <cell r="I183">
            <v>0</v>
          </cell>
          <cell r="J183">
            <v>0</v>
          </cell>
          <cell r="K183">
            <v>0</v>
          </cell>
        </row>
        <row r="190">
          <cell r="F190">
            <v>-2.1827872842550278E-10</v>
          </cell>
          <cell r="H190">
            <v>0</v>
          </cell>
        </row>
        <row r="196">
          <cell r="F196">
            <v>12667.419999999925</v>
          </cell>
          <cell r="H196">
            <v>0</v>
          </cell>
          <cell r="I196">
            <v>0</v>
          </cell>
          <cell r="J196">
            <v>0</v>
          </cell>
          <cell r="K196">
            <v>0</v>
          </cell>
        </row>
        <row r="201">
          <cell r="F201">
            <v>1000000</v>
          </cell>
          <cell r="H201">
            <v>0</v>
          </cell>
          <cell r="J201">
            <v>0</v>
          </cell>
          <cell r="K201">
            <v>0</v>
          </cell>
        </row>
      </sheetData>
      <sheetData sheetId="11">
        <row r="8">
          <cell r="F8">
            <v>961364</v>
          </cell>
          <cell r="H8">
            <v>0</v>
          </cell>
        </row>
        <row r="17">
          <cell r="F17">
            <v>943287</v>
          </cell>
          <cell r="H17">
            <v>0</v>
          </cell>
        </row>
        <row r="38">
          <cell r="F38">
            <v>1516531.81</v>
          </cell>
          <cell r="H38">
            <v>526290.68999999994</v>
          </cell>
          <cell r="J38">
            <v>0</v>
          </cell>
          <cell r="K38">
            <v>0</v>
          </cell>
        </row>
        <row r="53">
          <cell r="F53">
            <v>373823.63</v>
          </cell>
          <cell r="H53">
            <v>338653.17000000004</v>
          </cell>
          <cell r="K53">
            <v>0</v>
          </cell>
        </row>
        <row r="60">
          <cell r="F60">
            <v>0</v>
          </cell>
          <cell r="H60">
            <v>0</v>
          </cell>
          <cell r="I60">
            <v>0</v>
          </cell>
          <cell r="J60">
            <v>0</v>
          </cell>
          <cell r="K60">
            <v>0</v>
          </cell>
        </row>
        <row r="71">
          <cell r="F71">
            <v>207104.75</v>
          </cell>
          <cell r="H71">
            <v>206747.25</v>
          </cell>
          <cell r="I71">
            <v>0</v>
          </cell>
          <cell r="J71">
            <v>0</v>
          </cell>
          <cell r="K71">
            <v>0</v>
          </cell>
        </row>
        <row r="81">
          <cell r="F81">
            <v>0</v>
          </cell>
          <cell r="H81">
            <v>0</v>
          </cell>
        </row>
        <row r="86">
          <cell r="F86">
            <v>6000000</v>
          </cell>
          <cell r="H86">
            <v>0</v>
          </cell>
        </row>
        <row r="94">
          <cell r="F94">
            <v>86491803.379999995</v>
          </cell>
          <cell r="H94">
            <v>0</v>
          </cell>
          <cell r="K94">
            <v>0</v>
          </cell>
        </row>
      </sheetData>
      <sheetData sheetId="12">
        <row r="8">
          <cell r="F8">
            <v>1250000</v>
          </cell>
          <cell r="H8">
            <v>0</v>
          </cell>
        </row>
        <row r="13">
          <cell r="F13">
            <v>425791</v>
          </cell>
          <cell r="H13">
            <v>0</v>
          </cell>
        </row>
        <row r="18">
          <cell r="F18">
            <v>400000</v>
          </cell>
          <cell r="H18">
            <v>0</v>
          </cell>
        </row>
        <row r="23">
          <cell r="F23">
            <v>850000</v>
          </cell>
          <cell r="H23">
            <v>0</v>
          </cell>
        </row>
        <row r="28">
          <cell r="F28">
            <v>537131</v>
          </cell>
          <cell r="H28">
            <v>0</v>
          </cell>
        </row>
        <row r="33">
          <cell r="F33">
            <v>950000</v>
          </cell>
          <cell r="H33">
            <v>0</v>
          </cell>
        </row>
        <row r="40">
          <cell r="F40">
            <v>425000</v>
          </cell>
          <cell r="H40">
            <v>176690.7</v>
          </cell>
          <cell r="J40">
            <v>0</v>
          </cell>
          <cell r="K40">
            <v>0</v>
          </cell>
        </row>
        <row r="45">
          <cell r="F45">
            <v>465000</v>
          </cell>
          <cell r="H45">
            <v>0</v>
          </cell>
          <cell r="J45">
            <v>0</v>
          </cell>
          <cell r="K45">
            <v>0</v>
          </cell>
        </row>
        <row r="67">
          <cell r="F67">
            <v>848153.93</v>
          </cell>
          <cell r="H67">
            <v>282146.05999999994</v>
          </cell>
          <cell r="J67">
            <v>0</v>
          </cell>
          <cell r="K67">
            <v>0</v>
          </cell>
        </row>
        <row r="73">
          <cell r="F73">
            <v>500000</v>
          </cell>
          <cell r="H73">
            <v>487932.67</v>
          </cell>
        </row>
        <row r="80">
          <cell r="F80">
            <v>544456</v>
          </cell>
          <cell r="H80">
            <v>16737.8</v>
          </cell>
        </row>
        <row r="87">
          <cell r="F87">
            <v>525000</v>
          </cell>
          <cell r="H87">
            <v>525000</v>
          </cell>
          <cell r="I87">
            <v>0</v>
          </cell>
          <cell r="J87">
            <v>0</v>
          </cell>
          <cell r="K87">
            <v>0</v>
          </cell>
        </row>
        <row r="103">
          <cell r="F103">
            <v>214061.21999999997</v>
          </cell>
          <cell r="H103">
            <v>214061.21999999997</v>
          </cell>
          <cell r="I103">
            <v>0</v>
          </cell>
          <cell r="J103">
            <v>0</v>
          </cell>
          <cell r="K103">
            <v>0</v>
          </cell>
        </row>
        <row r="112">
          <cell r="F112">
            <v>445267.07</v>
          </cell>
          <cell r="H112">
            <v>21261.75</v>
          </cell>
          <cell r="I112">
            <v>0</v>
          </cell>
          <cell r="J112">
            <v>0</v>
          </cell>
          <cell r="K112">
            <v>0</v>
          </cell>
        </row>
        <row r="121">
          <cell r="F121">
            <v>0</v>
          </cell>
          <cell r="H121">
            <v>0</v>
          </cell>
          <cell r="I121">
            <v>0</v>
          </cell>
          <cell r="J121">
            <v>0</v>
          </cell>
          <cell r="K121">
            <v>0</v>
          </cell>
        </row>
        <row r="134">
          <cell r="F134">
            <v>167731.66999999998</v>
          </cell>
          <cell r="H134">
            <v>167731.07</v>
          </cell>
          <cell r="I134">
            <v>0</v>
          </cell>
          <cell r="J134">
            <v>0</v>
          </cell>
          <cell r="K134">
            <v>0</v>
          </cell>
        </row>
        <row r="142">
          <cell r="F142">
            <v>0</v>
          </cell>
          <cell r="H142">
            <v>0</v>
          </cell>
          <cell r="I142">
            <v>0</v>
          </cell>
          <cell r="J142">
            <v>0</v>
          </cell>
          <cell r="K142">
            <v>0</v>
          </cell>
        </row>
        <row r="157">
          <cell r="F157">
            <v>29094.266999999949</v>
          </cell>
          <cell r="H157">
            <v>29094.27</v>
          </cell>
          <cell r="I157">
            <v>0</v>
          </cell>
          <cell r="J157">
            <v>0</v>
          </cell>
          <cell r="K157">
            <v>0</v>
          </cell>
        </row>
        <row r="163">
          <cell r="F163">
            <v>0</v>
          </cell>
          <cell r="H163">
            <v>0</v>
          </cell>
          <cell r="I163">
            <v>0</v>
          </cell>
          <cell r="J163">
            <v>0</v>
          </cell>
          <cell r="K163">
            <v>0</v>
          </cell>
        </row>
        <row r="171">
          <cell r="F171">
            <v>-1.0913936421275139E-11</v>
          </cell>
          <cell r="H171">
            <v>0</v>
          </cell>
          <cell r="I171">
            <v>0</v>
          </cell>
          <cell r="J171">
            <v>0</v>
          </cell>
          <cell r="K171">
            <v>0</v>
          </cell>
        </row>
        <row r="184">
          <cell r="F184">
            <v>33572.510000000024</v>
          </cell>
          <cell r="H184">
            <v>33572.51</v>
          </cell>
        </row>
        <row r="191">
          <cell r="F191">
            <v>0</v>
          </cell>
          <cell r="H191">
            <v>0</v>
          </cell>
          <cell r="I191">
            <v>0</v>
          </cell>
          <cell r="J191">
            <v>0</v>
          </cell>
          <cell r="K191">
            <v>0</v>
          </cell>
        </row>
        <row r="198">
          <cell r="F198">
            <v>0</v>
          </cell>
          <cell r="H198">
            <v>0</v>
          </cell>
          <cell r="I198">
            <v>0</v>
          </cell>
          <cell r="J198">
            <v>0</v>
          </cell>
          <cell r="K198">
            <v>0</v>
          </cell>
        </row>
        <row r="204">
          <cell r="F204">
            <v>0</v>
          </cell>
          <cell r="H204">
            <v>0</v>
          </cell>
          <cell r="I204">
            <v>0</v>
          </cell>
          <cell r="J204">
            <v>0</v>
          </cell>
          <cell r="K204">
            <v>0</v>
          </cell>
        </row>
        <row r="212">
          <cell r="F212">
            <v>0</v>
          </cell>
          <cell r="H212">
            <v>0</v>
          </cell>
          <cell r="I212">
            <v>0</v>
          </cell>
          <cell r="J212">
            <v>0</v>
          </cell>
          <cell r="K212">
            <v>0</v>
          </cell>
        </row>
        <row r="226">
          <cell r="F226">
            <v>0</v>
          </cell>
          <cell r="H226">
            <v>0</v>
          </cell>
          <cell r="I226">
            <v>0</v>
          </cell>
          <cell r="J226">
            <v>0</v>
          </cell>
          <cell r="K226">
            <v>0</v>
          </cell>
        </row>
        <row r="234">
          <cell r="F234">
            <v>0</v>
          </cell>
          <cell r="H234">
            <v>0</v>
          </cell>
          <cell r="I234">
            <v>0</v>
          </cell>
          <cell r="J234">
            <v>0</v>
          </cell>
          <cell r="K234">
            <v>0</v>
          </cell>
        </row>
        <row r="365">
          <cell r="F365">
            <v>10000000</v>
          </cell>
          <cell r="H365">
            <v>0</v>
          </cell>
        </row>
        <row r="370">
          <cell r="F370">
            <v>5000000</v>
          </cell>
          <cell r="H370">
            <v>0</v>
          </cell>
        </row>
        <row r="375">
          <cell r="F375">
            <v>9046000</v>
          </cell>
          <cell r="H375">
            <v>0</v>
          </cell>
        </row>
        <row r="384">
          <cell r="F384">
            <v>16338266.16</v>
          </cell>
          <cell r="H384">
            <v>1852361.7999999998</v>
          </cell>
          <cell r="J384">
            <v>0</v>
          </cell>
          <cell r="K384">
            <v>0</v>
          </cell>
        </row>
        <row r="389">
          <cell r="F389">
            <v>0</v>
          </cell>
          <cell r="H389">
            <v>0</v>
          </cell>
        </row>
        <row r="401">
          <cell r="F401">
            <v>1045458.3399999999</v>
          </cell>
          <cell r="H401">
            <v>33104.050000000003</v>
          </cell>
          <cell r="I401">
            <v>0</v>
          </cell>
          <cell r="J401">
            <v>0</v>
          </cell>
          <cell r="K401">
            <v>0</v>
          </cell>
        </row>
        <row r="413">
          <cell r="F413">
            <v>6.3300831243395805E-10</v>
          </cell>
          <cell r="H413">
            <v>0</v>
          </cell>
          <cell r="I413">
            <v>0</v>
          </cell>
          <cell r="J413">
            <v>0</v>
          </cell>
          <cell r="K413">
            <v>0</v>
          </cell>
        </row>
        <row r="489">
          <cell r="F489">
            <v>0</v>
          </cell>
          <cell r="H489">
            <v>0</v>
          </cell>
          <cell r="K489">
            <v>0</v>
          </cell>
        </row>
        <row r="500">
          <cell r="F500">
            <v>2.5333974917884916E-9</v>
          </cell>
          <cell r="H500">
            <v>0</v>
          </cell>
          <cell r="I500">
            <v>0</v>
          </cell>
          <cell r="J500">
            <v>0</v>
          </cell>
          <cell r="K500">
            <v>0</v>
          </cell>
        </row>
        <row r="514">
          <cell r="F514">
            <v>2.4192559067159891E-10</v>
          </cell>
          <cell r="H514">
            <v>0</v>
          </cell>
          <cell r="I514">
            <v>0</v>
          </cell>
          <cell r="J514">
            <v>0</v>
          </cell>
          <cell r="K514">
            <v>0</v>
          </cell>
        </row>
        <row r="570">
          <cell r="F570">
            <v>2909334.04</v>
          </cell>
          <cell r="H570">
            <v>288185.09000000003</v>
          </cell>
          <cell r="J570">
            <v>0</v>
          </cell>
          <cell r="K570">
            <v>0</v>
          </cell>
        </row>
        <row r="577">
          <cell r="F577">
            <v>45908.550000000745</v>
          </cell>
          <cell r="H577">
            <v>0</v>
          </cell>
        </row>
        <row r="586">
          <cell r="F586">
            <v>15880.5</v>
          </cell>
          <cell r="H586">
            <v>0</v>
          </cell>
          <cell r="I586">
            <v>0</v>
          </cell>
          <cell r="J586">
            <v>0</v>
          </cell>
          <cell r="K586">
            <v>0</v>
          </cell>
        </row>
        <row r="596">
          <cell r="F596">
            <v>0</v>
          </cell>
          <cell r="H596">
            <v>0</v>
          </cell>
          <cell r="I596">
            <v>0</v>
          </cell>
          <cell r="J596">
            <v>0</v>
          </cell>
          <cell r="K596">
            <v>0</v>
          </cell>
        </row>
        <row r="607">
          <cell r="F607">
            <v>90049.61999999074</v>
          </cell>
          <cell r="H607">
            <v>0</v>
          </cell>
          <cell r="K607">
            <v>0</v>
          </cell>
        </row>
        <row r="620">
          <cell r="F620">
            <v>0</v>
          </cell>
          <cell r="H620">
            <v>0</v>
          </cell>
          <cell r="I620">
            <v>0</v>
          </cell>
          <cell r="J620">
            <v>0</v>
          </cell>
          <cell r="K620">
            <v>0</v>
          </cell>
        </row>
      </sheetData>
      <sheetData sheetId="13">
        <row r="42">
          <cell r="F42">
            <v>654937</v>
          </cell>
          <cell r="H42">
            <v>0</v>
          </cell>
        </row>
        <row r="49">
          <cell r="F49">
            <v>890113</v>
          </cell>
          <cell r="H49">
            <v>49478.57</v>
          </cell>
        </row>
        <row r="58">
          <cell r="F58">
            <v>634020.4</v>
          </cell>
          <cell r="H58">
            <v>5661.55</v>
          </cell>
          <cell r="J58">
            <v>0</v>
          </cell>
          <cell r="K58">
            <v>0</v>
          </cell>
        </row>
        <row r="63">
          <cell r="F63">
            <v>453076</v>
          </cell>
          <cell r="H63">
            <v>0</v>
          </cell>
        </row>
        <row r="76">
          <cell r="F76">
            <v>57048.739999999991</v>
          </cell>
          <cell r="H76">
            <v>37409.100000000006</v>
          </cell>
          <cell r="I76">
            <v>0</v>
          </cell>
          <cell r="J76">
            <v>0</v>
          </cell>
          <cell r="K76">
            <v>0</v>
          </cell>
        </row>
        <row r="84">
          <cell r="F84">
            <v>85773.230000000025</v>
          </cell>
          <cell r="H84">
            <v>0</v>
          </cell>
          <cell r="I84">
            <v>0</v>
          </cell>
          <cell r="J84">
            <v>0</v>
          </cell>
          <cell r="K84">
            <v>0</v>
          </cell>
        </row>
        <row r="100">
          <cell r="F100">
            <v>318080</v>
          </cell>
          <cell r="H100">
            <v>179611.54</v>
          </cell>
          <cell r="I100">
            <v>0</v>
          </cell>
          <cell r="J100">
            <v>0</v>
          </cell>
          <cell r="K100">
            <v>0</v>
          </cell>
        </row>
        <row r="109">
          <cell r="F109">
            <v>1.0459189070388675E-11</v>
          </cell>
          <cell r="H109">
            <v>0</v>
          </cell>
          <cell r="I109">
            <v>0</v>
          </cell>
          <cell r="J109">
            <v>0</v>
          </cell>
          <cell r="K109">
            <v>0</v>
          </cell>
        </row>
        <row r="118">
          <cell r="F118">
            <v>0</v>
          </cell>
          <cell r="H118">
            <v>0</v>
          </cell>
          <cell r="I118">
            <v>0</v>
          </cell>
          <cell r="J118">
            <v>0</v>
          </cell>
          <cell r="K118">
            <v>0</v>
          </cell>
        </row>
        <row r="129">
          <cell r="F129">
            <v>2521.6900000000387</v>
          </cell>
          <cell r="H129">
            <v>0</v>
          </cell>
          <cell r="I129">
            <v>0</v>
          </cell>
          <cell r="J129">
            <v>0</v>
          </cell>
          <cell r="K129">
            <v>0</v>
          </cell>
        </row>
      </sheetData>
      <sheetData sheetId="14">
        <row r="7">
          <cell r="G7">
            <v>335990</v>
          </cell>
          <cell r="H7">
            <v>0</v>
          </cell>
        </row>
        <row r="11">
          <cell r="G11">
            <v>35489</v>
          </cell>
          <cell r="H11">
            <v>0</v>
          </cell>
        </row>
        <row r="15">
          <cell r="G15">
            <v>46558</v>
          </cell>
          <cell r="H15">
            <v>0</v>
          </cell>
        </row>
        <row r="45">
          <cell r="G45">
            <v>1374259.93</v>
          </cell>
          <cell r="H45">
            <v>1374259.93</v>
          </cell>
          <cell r="K45">
            <v>0</v>
          </cell>
        </row>
        <row r="49">
          <cell r="G49">
            <v>315000</v>
          </cell>
          <cell r="H49">
            <v>0</v>
          </cell>
        </row>
        <row r="57">
          <cell r="G57">
            <v>0</v>
          </cell>
          <cell r="H57">
            <v>0</v>
          </cell>
          <cell r="K57">
            <v>0</v>
          </cell>
        </row>
        <row r="62">
          <cell r="G62">
            <v>431976</v>
          </cell>
          <cell r="H62">
            <v>0</v>
          </cell>
        </row>
        <row r="67">
          <cell r="G67">
            <v>45627</v>
          </cell>
          <cell r="H67">
            <v>0</v>
          </cell>
        </row>
        <row r="72">
          <cell r="G72">
            <v>59858</v>
          </cell>
          <cell r="H72">
            <v>0</v>
          </cell>
        </row>
        <row r="78">
          <cell r="G78">
            <v>0</v>
          </cell>
          <cell r="H78">
            <v>0</v>
          </cell>
          <cell r="J78">
            <v>0</v>
          </cell>
          <cell r="K78">
            <v>0</v>
          </cell>
        </row>
        <row r="87">
          <cell r="G87">
            <v>0</v>
          </cell>
          <cell r="H87">
            <v>0</v>
          </cell>
          <cell r="I87">
            <v>0</v>
          </cell>
          <cell r="J87">
            <v>0</v>
          </cell>
          <cell r="K87">
            <v>0</v>
          </cell>
        </row>
        <row r="92">
          <cell r="G92">
            <v>88000</v>
          </cell>
          <cell r="H92">
            <v>0</v>
          </cell>
        </row>
        <row r="110">
          <cell r="H110">
            <v>337504.25</v>
          </cell>
          <cell r="J110">
            <v>30500</v>
          </cell>
        </row>
      </sheetData>
      <sheetData sheetId="15">
        <row r="2">
          <cell r="H2">
            <v>6446000.9399999995</v>
          </cell>
        </row>
      </sheetData>
      <sheetData sheetId="16">
        <row r="8">
          <cell r="G8">
            <v>500000</v>
          </cell>
          <cell r="H8">
            <v>0</v>
          </cell>
        </row>
        <row r="15">
          <cell r="G15">
            <v>307998</v>
          </cell>
          <cell r="H15">
            <v>0</v>
          </cell>
        </row>
        <row r="22">
          <cell r="G22">
            <v>3484974.75</v>
          </cell>
          <cell r="H22">
            <v>0</v>
          </cell>
        </row>
        <row r="37">
          <cell r="G37">
            <v>547668.09000000032</v>
          </cell>
        </row>
        <row r="62">
          <cell r="G62">
            <v>556719.89999999991</v>
          </cell>
          <cell r="H62">
            <v>0</v>
          </cell>
        </row>
        <row r="69">
          <cell r="G69">
            <v>0</v>
          </cell>
        </row>
        <row r="74">
          <cell r="G74">
            <v>0</v>
          </cell>
        </row>
        <row r="85">
          <cell r="G85">
            <v>0</v>
          </cell>
        </row>
        <row r="93">
          <cell r="G93">
            <v>0</v>
          </cell>
        </row>
        <row r="102">
          <cell r="G102">
            <v>0</v>
          </cell>
        </row>
        <row r="150">
          <cell r="G150">
            <v>0</v>
          </cell>
        </row>
      </sheetData>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1A"/>
      <sheetName val="CHECK"/>
      <sheetName val="UMCP"/>
      <sheetName val="UMB"/>
      <sheetName val="UMBI"/>
      <sheetName val="UMES"/>
      <sheetName val="UMBC"/>
      <sheetName val="UMBC-UMBI"/>
      <sheetName val="UMCES"/>
      <sheetName val="BSU"/>
      <sheetName val="CSU"/>
      <sheetName val="FSU"/>
      <sheetName val="SU"/>
      <sheetName val="TU"/>
      <sheetName val="UB"/>
      <sheetName val="USM &amp; COI"/>
      <sheetName val="Emergency Funds"/>
      <sheetName val="FR used 10 or 20 yr debt"/>
      <sheetName val="ck"/>
      <sheetName val="rqst"/>
      <sheetName val="Payment Activities"/>
      <sheetName val="Sheet1"/>
      <sheetName val="Sheet2"/>
    </sheetNames>
    <sheetDataSet>
      <sheetData sheetId="0">
        <row r="791">
          <cell r="C791">
            <v>242000000</v>
          </cell>
        </row>
      </sheetData>
      <sheetData sheetId="1" refreshError="1"/>
      <sheetData sheetId="2">
        <row r="65">
          <cell r="J65"/>
          <cell r="K65"/>
        </row>
        <row r="261">
          <cell r="I261"/>
          <cell r="J261"/>
        </row>
        <row r="471">
          <cell r="J471"/>
          <cell r="K471"/>
        </row>
        <row r="631">
          <cell r="K631"/>
        </row>
      </sheetData>
      <sheetData sheetId="3">
        <row r="32">
          <cell r="J32">
            <v>0</v>
          </cell>
        </row>
        <row r="88">
          <cell r="J88"/>
          <cell r="K88"/>
        </row>
        <row r="346">
          <cell r="I346"/>
          <cell r="J346"/>
        </row>
      </sheetData>
      <sheetData sheetId="4" refreshError="1"/>
      <sheetData sheetId="5">
        <row r="58">
          <cell r="J58"/>
          <cell r="K58"/>
        </row>
        <row r="137">
          <cell r="J137"/>
        </row>
        <row r="242">
          <cell r="J242"/>
          <cell r="K242"/>
        </row>
      </sheetData>
      <sheetData sheetId="6">
        <row r="8">
          <cell r="J8">
            <v>0</v>
          </cell>
        </row>
        <row r="27">
          <cell r="J27"/>
          <cell r="K27"/>
        </row>
        <row r="128">
          <cell r="J128"/>
        </row>
        <row r="269">
          <cell r="F269"/>
          <cell r="I269"/>
          <cell r="J269"/>
          <cell r="K269"/>
        </row>
      </sheetData>
      <sheetData sheetId="7" refreshError="1"/>
      <sheetData sheetId="8">
        <row r="32">
          <cell r="J32">
            <v>0</v>
          </cell>
        </row>
        <row r="38">
          <cell r="J38">
            <v>0</v>
          </cell>
        </row>
        <row r="67">
          <cell r="J67">
            <v>0</v>
          </cell>
          <cell r="K67">
            <v>0</v>
          </cell>
        </row>
        <row r="143">
          <cell r="J143"/>
        </row>
      </sheetData>
      <sheetData sheetId="9">
        <row r="30">
          <cell r="J30">
            <v>0</v>
          </cell>
          <cell r="K30">
            <v>0</v>
          </cell>
        </row>
        <row r="130">
          <cell r="J130"/>
        </row>
      </sheetData>
      <sheetData sheetId="10">
        <row r="29">
          <cell r="J29">
            <v>0</v>
          </cell>
        </row>
        <row r="74">
          <cell r="J74">
            <v>0</v>
          </cell>
          <cell r="K74">
            <v>0</v>
          </cell>
        </row>
        <row r="187">
          <cell r="J187"/>
        </row>
      </sheetData>
      <sheetData sheetId="11">
        <row r="40">
          <cell r="J40"/>
          <cell r="K40"/>
        </row>
        <row r="160">
          <cell r="J160"/>
        </row>
        <row r="170">
          <cell r="K170"/>
        </row>
      </sheetData>
      <sheetData sheetId="12">
        <row r="25">
          <cell r="J25">
            <v>0</v>
          </cell>
          <cell r="K25">
            <v>0</v>
          </cell>
        </row>
        <row r="143">
          <cell r="J143">
            <v>0</v>
          </cell>
        </row>
        <row r="151">
          <cell r="K151"/>
        </row>
      </sheetData>
      <sheetData sheetId="13">
        <row r="47">
          <cell r="J47"/>
          <cell r="K47"/>
        </row>
        <row r="52">
          <cell r="J52"/>
          <cell r="K52"/>
        </row>
        <row r="57">
          <cell r="J57"/>
          <cell r="K57"/>
        </row>
        <row r="315">
          <cell r="J315">
            <v>0</v>
          </cell>
        </row>
        <row r="321">
          <cell r="J321"/>
        </row>
        <row r="328">
          <cell r="J328"/>
        </row>
        <row r="445">
          <cell r="K445"/>
        </row>
        <row r="494">
          <cell r="K494"/>
        </row>
      </sheetData>
      <sheetData sheetId="14">
        <row r="42">
          <cell r="J42">
            <v>0</v>
          </cell>
          <cell r="K42">
            <v>0</v>
          </cell>
        </row>
        <row r="145">
          <cell r="J145"/>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BI"/>
      <sheetName val="UMES"/>
      <sheetName val="UMBC"/>
      <sheetName val="UMBC-UMBI"/>
      <sheetName val="UMCES"/>
      <sheetName val="BSU"/>
      <sheetName val="CSU"/>
      <sheetName val="FSU"/>
      <sheetName val="SU"/>
      <sheetName val="TU"/>
      <sheetName val="UB"/>
      <sheetName val="USM &amp; COI"/>
      <sheetName val="Emergency Funds"/>
      <sheetName val="ck"/>
      <sheetName val="Payment Activities"/>
      <sheetName val="Sheet1"/>
      <sheetName val="Sheet2"/>
    </sheetNames>
    <sheetDataSet>
      <sheetData sheetId="0">
        <row r="408">
          <cell r="N408">
            <v>60490443.120000005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ES"/>
      <sheetName val="UMBI"/>
      <sheetName val="UMBC"/>
      <sheetName val="UMBC-UMBI"/>
      <sheetName val="UMCES"/>
      <sheetName val="BSU"/>
      <sheetName val="CSU"/>
      <sheetName val="FSU"/>
      <sheetName val="SU"/>
      <sheetName val="TU"/>
      <sheetName val="UB"/>
      <sheetName val="USM &amp; COI"/>
      <sheetName val="FR using 20-yr Bond"/>
      <sheetName val="Emergency Funds"/>
      <sheetName val="FR using 10-yr Bond"/>
      <sheetName val="2022A from #89 "/>
      <sheetName val="Payment Activities"/>
      <sheetName val="acct balance"/>
      <sheetName val="ck"/>
      <sheetName val="Sheet1"/>
      <sheetName val="Sheet2"/>
    </sheetNames>
    <sheetDataSet>
      <sheetData sheetId="0" refreshError="1"/>
      <sheetData sheetId="1">
        <row r="7">
          <cell r="J7">
            <v>0</v>
          </cell>
          <cell r="K7">
            <v>0</v>
          </cell>
        </row>
        <row r="15">
          <cell r="K15">
            <v>0</v>
          </cell>
        </row>
        <row r="118">
          <cell r="J118">
            <v>0</v>
          </cell>
          <cell r="K118">
            <v>0</v>
          </cell>
        </row>
        <row r="136">
          <cell r="K136">
            <v>0</v>
          </cell>
        </row>
        <row r="154">
          <cell r="I154">
            <v>0</v>
          </cell>
          <cell r="J154">
            <v>0</v>
          </cell>
          <cell r="K154">
            <v>0</v>
          </cell>
        </row>
        <row r="247">
          <cell r="J247">
            <v>0</v>
          </cell>
          <cell r="K247">
            <v>0</v>
          </cell>
        </row>
        <row r="274">
          <cell r="K274">
            <v>0</v>
          </cell>
        </row>
        <row r="288">
          <cell r="F288">
            <v>0</v>
          </cell>
          <cell r="I288">
            <v>0</v>
          </cell>
          <cell r="J288">
            <v>0</v>
          </cell>
          <cell r="K288">
            <v>0</v>
          </cell>
        </row>
        <row r="293">
          <cell r="J293">
            <v>0</v>
          </cell>
          <cell r="K293">
            <v>0</v>
          </cell>
        </row>
        <row r="298">
          <cell r="J298">
            <v>0</v>
          </cell>
          <cell r="K298">
            <v>0</v>
          </cell>
        </row>
        <row r="306">
          <cell r="J306">
            <v>0</v>
          </cell>
          <cell r="K306">
            <v>0</v>
          </cell>
        </row>
        <row r="328">
          <cell r="I328">
            <v>0</v>
          </cell>
          <cell r="J328">
            <v>0</v>
          </cell>
          <cell r="K328">
            <v>0</v>
          </cell>
        </row>
        <row r="341">
          <cell r="I341">
            <v>0</v>
          </cell>
          <cell r="J341">
            <v>0</v>
          </cell>
          <cell r="K341">
            <v>0</v>
          </cell>
        </row>
        <row r="378">
          <cell r="J378">
            <v>0</v>
          </cell>
          <cell r="K378">
            <v>0</v>
          </cell>
        </row>
        <row r="389">
          <cell r="K389">
            <v>0</v>
          </cell>
        </row>
        <row r="399">
          <cell r="I399">
            <v>0</v>
          </cell>
          <cell r="J399">
            <v>0</v>
          </cell>
          <cell r="K399">
            <v>0</v>
          </cell>
        </row>
        <row r="405">
          <cell r="I405">
            <v>0</v>
          </cell>
          <cell r="J405">
            <v>0</v>
          </cell>
          <cell r="K405">
            <v>0</v>
          </cell>
        </row>
        <row r="413">
          <cell r="J413">
            <v>0</v>
          </cell>
          <cell r="K413">
            <v>0</v>
          </cell>
        </row>
        <row r="421">
          <cell r="K421">
            <v>0</v>
          </cell>
        </row>
        <row r="430">
          <cell r="I430">
            <v>0</v>
          </cell>
          <cell r="J430">
            <v>0</v>
          </cell>
          <cell r="K430">
            <v>0</v>
          </cell>
        </row>
        <row r="438">
          <cell r="F438">
            <v>0</v>
          </cell>
          <cell r="I438">
            <v>0</v>
          </cell>
          <cell r="J438">
            <v>0</v>
          </cell>
          <cell r="K438">
            <v>0</v>
          </cell>
        </row>
        <row r="448">
          <cell r="F448">
            <v>0</v>
          </cell>
          <cell r="K448">
            <v>0</v>
          </cell>
        </row>
      </sheetData>
      <sheetData sheetId="2">
        <row r="60">
          <cell r="J60">
            <v>0</v>
          </cell>
          <cell r="K60">
            <v>0</v>
          </cell>
        </row>
        <row r="117">
          <cell r="J117">
            <v>0</v>
          </cell>
          <cell r="K117">
            <v>0</v>
          </cell>
        </row>
        <row r="172">
          <cell r="I172">
            <v>0</v>
          </cell>
          <cell r="J172">
            <v>0</v>
          </cell>
          <cell r="K172">
            <v>0</v>
          </cell>
        </row>
        <row r="195">
          <cell r="I195">
            <v>0</v>
          </cell>
          <cell r="J195">
            <v>0</v>
          </cell>
          <cell r="K195">
            <v>0</v>
          </cell>
        </row>
        <row r="222">
          <cell r="I222">
            <v>0</v>
          </cell>
          <cell r="J222">
            <v>0</v>
          </cell>
          <cell r="K222">
            <v>0</v>
          </cell>
        </row>
        <row r="253">
          <cell r="I253">
            <v>0</v>
          </cell>
          <cell r="J253">
            <v>0</v>
          </cell>
          <cell r="K253">
            <v>0</v>
          </cell>
        </row>
        <row r="270">
          <cell r="I270">
            <v>0</v>
          </cell>
          <cell r="J270">
            <v>0</v>
          </cell>
          <cell r="K270">
            <v>0</v>
          </cell>
        </row>
        <row r="290">
          <cell r="I290">
            <v>0</v>
          </cell>
          <cell r="J290">
            <v>0</v>
          </cell>
          <cell r="K290">
            <v>0</v>
          </cell>
        </row>
        <row r="308">
          <cell r="I308">
            <v>0</v>
          </cell>
          <cell r="J308">
            <v>0</v>
          </cell>
          <cell r="K308">
            <v>0</v>
          </cell>
        </row>
        <row r="331">
          <cell r="I331">
            <v>0</v>
          </cell>
          <cell r="J331">
            <v>0</v>
          </cell>
          <cell r="K331">
            <v>0</v>
          </cell>
        </row>
        <row r="407">
          <cell r="I407">
            <v>0</v>
          </cell>
          <cell r="J407">
            <v>0</v>
          </cell>
          <cell r="K407">
            <v>0</v>
          </cell>
        </row>
        <row r="426">
          <cell r="J426">
            <v>0</v>
          </cell>
          <cell r="K426">
            <v>0</v>
          </cell>
        </row>
      </sheetData>
      <sheetData sheetId="3">
        <row r="10">
          <cell r="I10">
            <v>0</v>
          </cell>
          <cell r="J10">
            <v>0</v>
          </cell>
          <cell r="K10">
            <v>0</v>
          </cell>
        </row>
        <row r="19">
          <cell r="J19">
            <v>0</v>
          </cell>
          <cell r="K19">
            <v>0</v>
          </cell>
        </row>
        <row r="47">
          <cell r="J47">
            <v>0</v>
          </cell>
          <cell r="K47">
            <v>0</v>
          </cell>
        </row>
        <row r="78">
          <cell r="J78">
            <v>0</v>
          </cell>
          <cell r="K78">
            <v>0</v>
          </cell>
        </row>
        <row r="88">
          <cell r="K88">
            <v>0</v>
          </cell>
        </row>
        <row r="95">
          <cell r="I95">
            <v>0</v>
          </cell>
          <cell r="J95">
            <v>0</v>
          </cell>
          <cell r="K95">
            <v>0</v>
          </cell>
        </row>
        <row r="118">
          <cell r="I118">
            <v>0</v>
          </cell>
          <cell r="J118">
            <v>0</v>
          </cell>
          <cell r="K118">
            <v>0</v>
          </cell>
        </row>
        <row r="128">
          <cell r="I128">
            <v>0</v>
          </cell>
          <cell r="J128">
            <v>0</v>
          </cell>
          <cell r="K128">
            <v>0</v>
          </cell>
        </row>
        <row r="136">
          <cell r="I136">
            <v>0</v>
          </cell>
          <cell r="J136">
            <v>0</v>
          </cell>
          <cell r="K136">
            <v>0</v>
          </cell>
        </row>
        <row r="143">
          <cell r="I143">
            <v>0</v>
          </cell>
          <cell r="J143">
            <v>0</v>
          </cell>
          <cell r="K143">
            <v>0</v>
          </cell>
        </row>
        <row r="184">
          <cell r="I184">
            <v>0</v>
          </cell>
          <cell r="J184">
            <v>0</v>
          </cell>
          <cell r="K184">
            <v>0</v>
          </cell>
        </row>
        <row r="203">
          <cell r="I203">
            <v>0</v>
          </cell>
          <cell r="J203">
            <v>0</v>
          </cell>
          <cell r="K203">
            <v>0</v>
          </cell>
        </row>
        <row r="214">
          <cell r="J214">
            <v>0</v>
          </cell>
          <cell r="K214">
            <v>0</v>
          </cell>
        </row>
        <row r="219">
          <cell r="F219">
            <v>800000</v>
          </cell>
          <cell r="I219">
            <v>0</v>
          </cell>
          <cell r="J219">
            <v>0</v>
          </cell>
          <cell r="K219">
            <v>0</v>
          </cell>
        </row>
      </sheetData>
      <sheetData sheetId="4">
        <row r="65">
          <cell r="F65">
            <v>0</v>
          </cell>
          <cell r="I65">
            <v>0</v>
          </cell>
          <cell r="J65">
            <v>0</v>
          </cell>
          <cell r="K65">
            <v>0</v>
          </cell>
        </row>
      </sheetData>
      <sheetData sheetId="5">
        <row r="53">
          <cell r="J53">
            <v>0</v>
          </cell>
          <cell r="K53">
            <v>0</v>
          </cell>
        </row>
        <row r="82">
          <cell r="I82">
            <v>0</v>
          </cell>
          <cell r="J82">
            <v>0</v>
          </cell>
          <cell r="K82">
            <v>0</v>
          </cell>
        </row>
        <row r="108">
          <cell r="I108">
            <v>0</v>
          </cell>
          <cell r="J108">
            <v>0</v>
          </cell>
          <cell r="K108">
            <v>0</v>
          </cell>
        </row>
        <row r="120">
          <cell r="I120">
            <v>0</v>
          </cell>
          <cell r="J120">
            <v>0</v>
          </cell>
          <cell r="K120">
            <v>0</v>
          </cell>
        </row>
        <row r="126">
          <cell r="I126">
            <v>0</v>
          </cell>
          <cell r="J126">
            <v>0</v>
          </cell>
          <cell r="K126">
            <v>0</v>
          </cell>
        </row>
        <row r="140">
          <cell r="F140">
            <v>0</v>
          </cell>
          <cell r="K140">
            <v>0</v>
          </cell>
        </row>
        <row r="170">
          <cell r="I170">
            <v>0</v>
          </cell>
          <cell r="J170">
            <v>0</v>
          </cell>
          <cell r="K170">
            <v>0</v>
          </cell>
        </row>
      </sheetData>
      <sheetData sheetId="6" refreshError="1"/>
      <sheetData sheetId="7">
        <row r="20">
          <cell r="J20">
            <v>0</v>
          </cell>
          <cell r="K20">
            <v>0</v>
          </cell>
        </row>
      </sheetData>
      <sheetData sheetId="8">
        <row r="40">
          <cell r="J40">
            <v>0</v>
          </cell>
          <cell r="K40">
            <v>0</v>
          </cell>
        </row>
        <row r="55">
          <cell r="K55">
            <v>0</v>
          </cell>
        </row>
        <row r="64">
          <cell r="I64">
            <v>0</v>
          </cell>
          <cell r="J64">
            <v>0</v>
          </cell>
          <cell r="K64">
            <v>0</v>
          </cell>
        </row>
        <row r="80">
          <cell r="I80">
            <v>0</v>
          </cell>
          <cell r="J80">
            <v>0</v>
          </cell>
          <cell r="K80">
            <v>0</v>
          </cell>
        </row>
        <row r="92">
          <cell r="I92">
            <v>0</v>
          </cell>
          <cell r="J92">
            <v>0</v>
          </cell>
          <cell r="K92">
            <v>0</v>
          </cell>
        </row>
      </sheetData>
      <sheetData sheetId="9">
        <row r="34">
          <cell r="J34">
            <v>0</v>
          </cell>
          <cell r="K34">
            <v>0</v>
          </cell>
        </row>
        <row r="49">
          <cell r="K49">
            <v>0</v>
          </cell>
        </row>
        <row r="58">
          <cell r="I58">
            <v>0</v>
          </cell>
          <cell r="J58">
            <v>0</v>
          </cell>
          <cell r="K58">
            <v>0</v>
          </cell>
        </row>
        <row r="68">
          <cell r="I68">
            <v>0</v>
          </cell>
          <cell r="J68">
            <v>0</v>
          </cell>
          <cell r="K68">
            <v>0</v>
          </cell>
        </row>
      </sheetData>
      <sheetData sheetId="10">
        <row r="74">
          <cell r="J74">
            <v>0</v>
          </cell>
          <cell r="K74">
            <v>0</v>
          </cell>
        </row>
        <row r="92">
          <cell r="K92">
            <v>0</v>
          </cell>
        </row>
        <row r="109">
          <cell r="I109">
            <v>0</v>
          </cell>
          <cell r="J109">
            <v>0</v>
          </cell>
          <cell r="K109">
            <v>0</v>
          </cell>
        </row>
        <row r="122">
          <cell r="I122">
            <v>0</v>
          </cell>
          <cell r="J122">
            <v>0</v>
          </cell>
          <cell r="K122">
            <v>0</v>
          </cell>
        </row>
        <row r="136">
          <cell r="I136">
            <v>0</v>
          </cell>
          <cell r="J136">
            <v>0</v>
          </cell>
          <cell r="K136">
            <v>0</v>
          </cell>
        </row>
        <row r="149">
          <cell r="I149">
            <v>0</v>
          </cell>
          <cell r="J149">
            <v>0</v>
          </cell>
          <cell r="K149">
            <v>0</v>
          </cell>
        </row>
        <row r="161">
          <cell r="I161">
            <v>0</v>
          </cell>
          <cell r="J161">
            <v>0</v>
          </cell>
          <cell r="K161">
            <v>0</v>
          </cell>
        </row>
        <row r="219">
          <cell r="I219">
            <v>0</v>
          </cell>
          <cell r="J219">
            <v>0</v>
          </cell>
          <cell r="K219">
            <v>0</v>
          </cell>
        </row>
        <row r="232">
          <cell r="I232">
            <v>0</v>
          </cell>
          <cell r="J232">
            <v>0</v>
          </cell>
          <cell r="K232">
            <v>0</v>
          </cell>
        </row>
        <row r="237">
          <cell r="J237">
            <v>0</v>
          </cell>
          <cell r="K237">
            <v>0</v>
          </cell>
        </row>
      </sheetData>
      <sheetData sheetId="11">
        <row r="39">
          <cell r="J39">
            <v>0</v>
          </cell>
          <cell r="K39">
            <v>0</v>
          </cell>
        </row>
        <row r="54">
          <cell r="K54">
            <v>0</v>
          </cell>
        </row>
        <row r="61">
          <cell r="I61">
            <v>0</v>
          </cell>
          <cell r="J61">
            <v>0</v>
          </cell>
          <cell r="K61">
            <v>0</v>
          </cell>
        </row>
        <row r="72">
          <cell r="I72">
            <v>0</v>
          </cell>
          <cell r="J72">
            <v>0</v>
          </cell>
          <cell r="K72">
            <v>0</v>
          </cell>
        </row>
        <row r="97">
          <cell r="K97">
            <v>0</v>
          </cell>
        </row>
      </sheetData>
      <sheetData sheetId="12">
        <row r="43">
          <cell r="J43">
            <v>0</v>
          </cell>
          <cell r="K43">
            <v>0</v>
          </cell>
        </row>
        <row r="48">
          <cell r="J48">
            <v>0</v>
          </cell>
          <cell r="K48">
            <v>0</v>
          </cell>
        </row>
        <row r="76">
          <cell r="J76">
            <v>0</v>
          </cell>
          <cell r="K76">
            <v>0</v>
          </cell>
        </row>
        <row r="96">
          <cell r="I96">
            <v>0</v>
          </cell>
          <cell r="J96">
            <v>0</v>
          </cell>
          <cell r="K96">
            <v>0</v>
          </cell>
        </row>
        <row r="112">
          <cell r="I112">
            <v>0</v>
          </cell>
          <cell r="J112">
            <v>0</v>
          </cell>
          <cell r="K112">
            <v>0</v>
          </cell>
        </row>
        <row r="124">
          <cell r="I124">
            <v>0</v>
          </cell>
          <cell r="J124">
            <v>0</v>
          </cell>
          <cell r="K124">
            <v>0</v>
          </cell>
        </row>
        <row r="133">
          <cell r="I133">
            <v>0</v>
          </cell>
          <cell r="J133">
            <v>0</v>
          </cell>
          <cell r="K133">
            <v>0</v>
          </cell>
        </row>
        <row r="146">
          <cell r="I146">
            <v>0</v>
          </cell>
          <cell r="J146">
            <v>0</v>
          </cell>
          <cell r="K146">
            <v>0</v>
          </cell>
        </row>
        <row r="154">
          <cell r="I154">
            <v>0</v>
          </cell>
          <cell r="J154">
            <v>0</v>
          </cell>
          <cell r="K154">
            <v>0</v>
          </cell>
        </row>
        <row r="169">
          <cell r="I169">
            <v>0</v>
          </cell>
          <cell r="J169">
            <v>0</v>
          </cell>
          <cell r="K169">
            <v>0</v>
          </cell>
        </row>
        <row r="175">
          <cell r="I175">
            <v>0</v>
          </cell>
          <cell r="J175">
            <v>0</v>
          </cell>
          <cell r="K175">
            <v>0</v>
          </cell>
        </row>
        <row r="183">
          <cell r="I183">
            <v>0</v>
          </cell>
          <cell r="J183">
            <v>0</v>
          </cell>
          <cell r="K183">
            <v>0</v>
          </cell>
        </row>
        <row r="203">
          <cell r="I203">
            <v>0</v>
          </cell>
          <cell r="J203">
            <v>0</v>
          </cell>
          <cell r="K203">
            <v>0</v>
          </cell>
        </row>
        <row r="210">
          <cell r="I210">
            <v>0</v>
          </cell>
          <cell r="J210">
            <v>0</v>
          </cell>
          <cell r="K210">
            <v>0</v>
          </cell>
        </row>
        <row r="216">
          <cell r="I216">
            <v>0</v>
          </cell>
          <cell r="J216">
            <v>0</v>
          </cell>
          <cell r="K216">
            <v>0</v>
          </cell>
        </row>
        <row r="224">
          <cell r="I224">
            <v>0</v>
          </cell>
          <cell r="J224">
            <v>0</v>
          </cell>
          <cell r="K224">
            <v>0</v>
          </cell>
        </row>
        <row r="238">
          <cell r="I238">
            <v>0</v>
          </cell>
          <cell r="J238">
            <v>0</v>
          </cell>
          <cell r="K238">
            <v>0</v>
          </cell>
        </row>
        <row r="246">
          <cell r="I246">
            <v>0</v>
          </cell>
          <cell r="J246">
            <v>0</v>
          </cell>
          <cell r="K246">
            <v>0</v>
          </cell>
        </row>
        <row r="402">
          <cell r="J402">
            <v>0</v>
          </cell>
          <cell r="K402">
            <v>0</v>
          </cell>
        </row>
        <row r="435">
          <cell r="I435">
            <v>0</v>
          </cell>
          <cell r="J435">
            <v>0</v>
          </cell>
          <cell r="K435">
            <v>0</v>
          </cell>
        </row>
        <row r="447">
          <cell r="I447">
            <v>0</v>
          </cell>
          <cell r="J447">
            <v>0</v>
          </cell>
          <cell r="K447">
            <v>0</v>
          </cell>
        </row>
        <row r="523">
          <cell r="F523">
            <v>0</v>
          </cell>
          <cell r="K523">
            <v>0</v>
          </cell>
        </row>
        <row r="534">
          <cell r="I534">
            <v>0</v>
          </cell>
          <cell r="J534">
            <v>0</v>
          </cell>
          <cell r="K534">
            <v>0</v>
          </cell>
        </row>
        <row r="548">
          <cell r="I548">
            <v>0</v>
          </cell>
          <cell r="J548">
            <v>0</v>
          </cell>
          <cell r="K548">
            <v>0</v>
          </cell>
        </row>
        <row r="623">
          <cell r="J623">
            <v>0</v>
          </cell>
          <cell r="K623">
            <v>0</v>
          </cell>
        </row>
        <row r="640">
          <cell r="I640">
            <v>0</v>
          </cell>
          <cell r="J640">
            <v>0</v>
          </cell>
          <cell r="K640">
            <v>0</v>
          </cell>
        </row>
        <row r="650">
          <cell r="I650">
            <v>0</v>
          </cell>
          <cell r="J650">
            <v>0</v>
          </cell>
          <cell r="K650">
            <v>0</v>
          </cell>
        </row>
        <row r="666">
          <cell r="K666">
            <v>0</v>
          </cell>
        </row>
        <row r="679">
          <cell r="I679">
            <v>0</v>
          </cell>
          <cell r="J679">
            <v>0</v>
          </cell>
          <cell r="K679">
            <v>0</v>
          </cell>
        </row>
      </sheetData>
      <sheetData sheetId="13">
        <row r="60">
          <cell r="J60">
            <v>0</v>
          </cell>
          <cell r="K60">
            <v>0</v>
          </cell>
        </row>
        <row r="88">
          <cell r="I88">
            <v>0</v>
          </cell>
          <cell r="J88">
            <v>0</v>
          </cell>
          <cell r="K88">
            <v>0</v>
          </cell>
        </row>
        <row r="105">
          <cell r="I105">
            <v>0</v>
          </cell>
          <cell r="J105">
            <v>0</v>
          </cell>
          <cell r="K105">
            <v>0</v>
          </cell>
        </row>
        <row r="128">
          <cell r="I128">
            <v>0</v>
          </cell>
          <cell r="J128">
            <v>0</v>
          </cell>
          <cell r="K128">
            <v>0</v>
          </cell>
        </row>
        <row r="137">
          <cell r="I137">
            <v>0</v>
          </cell>
          <cell r="J137">
            <v>0</v>
          </cell>
          <cell r="K137">
            <v>0</v>
          </cell>
        </row>
        <row r="146">
          <cell r="I146">
            <v>0</v>
          </cell>
          <cell r="J146">
            <v>0</v>
          </cell>
          <cell r="K146">
            <v>0</v>
          </cell>
        </row>
        <row r="159">
          <cell r="I159">
            <v>0</v>
          </cell>
          <cell r="J159">
            <v>0</v>
          </cell>
          <cell r="K159">
            <v>0</v>
          </cell>
        </row>
      </sheetData>
      <sheetData sheetId="14">
        <row r="15">
          <cell r="G15">
            <v>46558</v>
          </cell>
        </row>
        <row r="19">
          <cell r="J19">
            <v>0</v>
          </cell>
          <cell r="K19">
            <v>0</v>
          </cell>
          <cell r="L19">
            <v>600000</v>
          </cell>
        </row>
        <row r="49">
          <cell r="K49">
            <v>0</v>
          </cell>
        </row>
        <row r="83">
          <cell r="K83">
            <v>0</v>
          </cell>
        </row>
        <row r="104">
          <cell r="J104">
            <v>0</v>
          </cell>
          <cell r="K104">
            <v>0</v>
          </cell>
        </row>
        <row r="113">
          <cell r="I113">
            <v>0</v>
          </cell>
          <cell r="J113">
            <v>0</v>
          </cell>
          <cell r="K113">
            <v>0</v>
          </cell>
        </row>
        <row r="134">
          <cell r="J134">
            <v>62000</v>
          </cell>
        </row>
      </sheetData>
      <sheetData sheetId="15">
        <row r="2">
          <cell r="H2">
            <v>17480284.489999991</v>
          </cell>
        </row>
      </sheetData>
      <sheetData sheetId="16">
        <row r="104">
          <cell r="G104">
            <v>0</v>
          </cell>
        </row>
        <row r="152">
          <cell r="G152">
            <v>0</v>
          </cell>
        </row>
      </sheetData>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ES"/>
      <sheetName val="UMBI"/>
      <sheetName val="UMBC"/>
      <sheetName val="UMBC-UMBI"/>
      <sheetName val="UMCES"/>
      <sheetName val="BSU"/>
      <sheetName val="CSU"/>
      <sheetName val="FSU"/>
      <sheetName val="SU"/>
      <sheetName val="TU"/>
      <sheetName val="UBalt"/>
      <sheetName val="USM &amp; COI"/>
      <sheetName val="FR using 20-yr Bond"/>
      <sheetName val="Emergency Funds"/>
      <sheetName val="FR using 10-yr Bond"/>
      <sheetName val="2022A from #89 "/>
      <sheetName val="Payment Activities"/>
      <sheetName val="acct balance"/>
      <sheetName val="ck"/>
      <sheetName val="Sheet1"/>
      <sheetName val="Sheet2"/>
    </sheetNames>
    <sheetDataSet>
      <sheetData sheetId="0"/>
      <sheetData sheetId="1">
        <row r="7">
          <cell r="J7">
            <v>0</v>
          </cell>
          <cell r="K7">
            <v>0</v>
          </cell>
        </row>
        <row r="15">
          <cell r="K15">
            <v>0</v>
          </cell>
        </row>
        <row r="126">
          <cell r="J126">
            <v>0</v>
          </cell>
          <cell r="K126">
            <v>0</v>
          </cell>
        </row>
        <row r="144">
          <cell r="K144">
            <v>0</v>
          </cell>
        </row>
        <row r="162">
          <cell r="I162">
            <v>0</v>
          </cell>
          <cell r="J162">
            <v>0</v>
          </cell>
          <cell r="K162">
            <v>0</v>
          </cell>
        </row>
        <row r="275">
          <cell r="J275">
            <v>0</v>
          </cell>
          <cell r="K275">
            <v>0</v>
          </cell>
        </row>
        <row r="302">
          <cell r="K302">
            <v>0</v>
          </cell>
        </row>
        <row r="316">
          <cell r="I316">
            <v>0</v>
          </cell>
          <cell r="J316">
            <v>0</v>
          </cell>
          <cell r="K316">
            <v>0</v>
          </cell>
        </row>
        <row r="321">
          <cell r="J321">
            <v>0</v>
          </cell>
          <cell r="K321">
            <v>0</v>
          </cell>
        </row>
        <row r="326">
          <cell r="J326">
            <v>0</v>
          </cell>
          <cell r="K326">
            <v>0</v>
          </cell>
        </row>
        <row r="334">
          <cell r="J334">
            <v>0</v>
          </cell>
          <cell r="K334">
            <v>0</v>
          </cell>
        </row>
        <row r="356">
          <cell r="I356">
            <v>0</v>
          </cell>
          <cell r="J356">
            <v>0</v>
          </cell>
          <cell r="K356">
            <v>0</v>
          </cell>
        </row>
        <row r="369">
          <cell r="I369">
            <v>0</v>
          </cell>
          <cell r="J369">
            <v>0</v>
          </cell>
          <cell r="K369">
            <v>0</v>
          </cell>
        </row>
        <row r="406">
          <cell r="J406">
            <v>0</v>
          </cell>
          <cell r="K406">
            <v>0</v>
          </cell>
        </row>
        <row r="417">
          <cell r="K417">
            <v>0</v>
          </cell>
        </row>
        <row r="427">
          <cell r="I427">
            <v>0</v>
          </cell>
          <cell r="J427">
            <v>0</v>
          </cell>
          <cell r="K427">
            <v>0</v>
          </cell>
        </row>
        <row r="433">
          <cell r="I433">
            <v>0</v>
          </cell>
          <cell r="J433">
            <v>0</v>
          </cell>
          <cell r="K433">
            <v>0</v>
          </cell>
        </row>
        <row r="441">
          <cell r="J441">
            <v>0</v>
          </cell>
          <cell r="K441">
            <v>0</v>
          </cell>
        </row>
        <row r="449">
          <cell r="K449">
            <v>0</v>
          </cell>
        </row>
        <row r="458">
          <cell r="I458">
            <v>0</v>
          </cell>
          <cell r="J458">
            <v>0</v>
          </cell>
          <cell r="K458">
            <v>0</v>
          </cell>
        </row>
        <row r="466">
          <cell r="I466">
            <v>0</v>
          </cell>
          <cell r="J466">
            <v>0</v>
          </cell>
          <cell r="K466">
            <v>0</v>
          </cell>
        </row>
        <row r="476">
          <cell r="K476">
            <v>0</v>
          </cell>
        </row>
      </sheetData>
      <sheetData sheetId="2">
        <row r="63">
          <cell r="J63">
            <v>0</v>
          </cell>
          <cell r="K63">
            <v>0</v>
          </cell>
        </row>
        <row r="121">
          <cell r="J121">
            <v>0</v>
          </cell>
          <cell r="K121">
            <v>0</v>
          </cell>
        </row>
        <row r="176">
          <cell r="I176">
            <v>0</v>
          </cell>
          <cell r="J176">
            <v>0</v>
          </cell>
          <cell r="K176">
            <v>0</v>
          </cell>
        </row>
        <row r="199">
          <cell r="I199">
            <v>0</v>
          </cell>
          <cell r="J199">
            <v>0</v>
          </cell>
          <cell r="K199">
            <v>0</v>
          </cell>
        </row>
        <row r="227">
          <cell r="I227">
            <v>0</v>
          </cell>
          <cell r="J227">
            <v>0</v>
          </cell>
          <cell r="K227">
            <v>0</v>
          </cell>
        </row>
        <row r="258">
          <cell r="I258">
            <v>0</v>
          </cell>
          <cell r="J258">
            <v>0</v>
          </cell>
          <cell r="K258">
            <v>0</v>
          </cell>
        </row>
        <row r="275">
          <cell r="I275">
            <v>0</v>
          </cell>
          <cell r="J275">
            <v>0</v>
          </cell>
          <cell r="K275">
            <v>0</v>
          </cell>
        </row>
        <row r="295">
          <cell r="I295">
            <v>0</v>
          </cell>
          <cell r="J295">
            <v>0</v>
          </cell>
          <cell r="K295">
            <v>0</v>
          </cell>
        </row>
        <row r="313">
          <cell r="I313">
            <v>0</v>
          </cell>
          <cell r="J313">
            <v>0</v>
          </cell>
          <cell r="K313">
            <v>0</v>
          </cell>
        </row>
        <row r="336">
          <cell r="I336">
            <v>0</v>
          </cell>
          <cell r="J336">
            <v>0</v>
          </cell>
          <cell r="K336">
            <v>0</v>
          </cell>
        </row>
        <row r="412">
          <cell r="I412">
            <v>0</v>
          </cell>
          <cell r="J412">
            <v>0</v>
          </cell>
          <cell r="K412">
            <v>0</v>
          </cell>
        </row>
        <row r="431">
          <cell r="J431">
            <v>0</v>
          </cell>
          <cell r="K431">
            <v>0</v>
          </cell>
        </row>
      </sheetData>
      <sheetData sheetId="3">
        <row r="10">
          <cell r="I10">
            <v>0</v>
          </cell>
          <cell r="J10">
            <v>0</v>
          </cell>
          <cell r="K10">
            <v>0</v>
          </cell>
        </row>
        <row r="19">
          <cell r="J19">
            <v>0</v>
          </cell>
          <cell r="K19">
            <v>0</v>
          </cell>
        </row>
        <row r="47">
          <cell r="J47">
            <v>0</v>
          </cell>
          <cell r="K47">
            <v>0</v>
          </cell>
        </row>
        <row r="78">
          <cell r="J78">
            <v>0</v>
          </cell>
          <cell r="K78">
            <v>0</v>
          </cell>
        </row>
        <row r="88">
          <cell r="K88">
            <v>0</v>
          </cell>
        </row>
        <row r="95">
          <cell r="I95">
            <v>0</v>
          </cell>
          <cell r="J95">
            <v>0</v>
          </cell>
          <cell r="K95">
            <v>0</v>
          </cell>
        </row>
        <row r="118">
          <cell r="I118">
            <v>0</v>
          </cell>
          <cell r="J118">
            <v>0</v>
          </cell>
          <cell r="K118">
            <v>0</v>
          </cell>
        </row>
        <row r="128">
          <cell r="I128">
            <v>0</v>
          </cell>
          <cell r="J128">
            <v>0</v>
          </cell>
          <cell r="K128">
            <v>0</v>
          </cell>
        </row>
        <row r="136">
          <cell r="I136">
            <v>0</v>
          </cell>
          <cell r="J136">
            <v>0</v>
          </cell>
          <cell r="K136">
            <v>0</v>
          </cell>
        </row>
        <row r="143">
          <cell r="I143">
            <v>0</v>
          </cell>
          <cell r="J143">
            <v>0</v>
          </cell>
          <cell r="K143">
            <v>0</v>
          </cell>
        </row>
        <row r="184">
          <cell r="I184">
            <v>0</v>
          </cell>
          <cell r="J184">
            <v>0</v>
          </cell>
          <cell r="K184">
            <v>0</v>
          </cell>
        </row>
        <row r="203">
          <cell r="I203">
            <v>0</v>
          </cell>
          <cell r="J203">
            <v>0</v>
          </cell>
          <cell r="K203">
            <v>0</v>
          </cell>
        </row>
        <row r="214">
          <cell r="J214">
            <v>0</v>
          </cell>
          <cell r="K214">
            <v>0</v>
          </cell>
        </row>
        <row r="219">
          <cell r="I219">
            <v>0</v>
          </cell>
          <cell r="J219">
            <v>0</v>
          </cell>
          <cell r="K219">
            <v>0</v>
          </cell>
        </row>
      </sheetData>
      <sheetData sheetId="4">
        <row r="65">
          <cell r="I65">
            <v>0</v>
          </cell>
          <cell r="J65">
            <v>0</v>
          </cell>
          <cell r="K65">
            <v>0</v>
          </cell>
        </row>
      </sheetData>
      <sheetData sheetId="5">
        <row r="56">
          <cell r="J56">
            <v>0</v>
          </cell>
          <cell r="K56">
            <v>0</v>
          </cell>
        </row>
        <row r="89">
          <cell r="I89">
            <v>0</v>
          </cell>
          <cell r="J89">
            <v>0</v>
          </cell>
          <cell r="K89">
            <v>0</v>
          </cell>
        </row>
        <row r="118">
          <cell r="I118">
            <v>0</v>
          </cell>
          <cell r="J118">
            <v>0</v>
          </cell>
          <cell r="K118">
            <v>0</v>
          </cell>
        </row>
        <row r="130">
          <cell r="I130">
            <v>0</v>
          </cell>
          <cell r="J130">
            <v>0</v>
          </cell>
          <cell r="K130">
            <v>0</v>
          </cell>
        </row>
        <row r="136">
          <cell r="I136">
            <v>0</v>
          </cell>
          <cell r="J136">
            <v>0</v>
          </cell>
          <cell r="K136">
            <v>0</v>
          </cell>
        </row>
        <row r="150">
          <cell r="K150">
            <v>0</v>
          </cell>
        </row>
        <row r="180">
          <cell r="I180">
            <v>0</v>
          </cell>
          <cell r="J180">
            <v>0</v>
          </cell>
          <cell r="K180">
            <v>0</v>
          </cell>
        </row>
      </sheetData>
      <sheetData sheetId="6"/>
      <sheetData sheetId="7">
        <row r="20">
          <cell r="J20">
            <v>0</v>
          </cell>
          <cell r="K20">
            <v>0</v>
          </cell>
        </row>
      </sheetData>
      <sheetData sheetId="8">
        <row r="40">
          <cell r="J40">
            <v>0</v>
          </cell>
          <cell r="K40">
            <v>0</v>
          </cell>
        </row>
        <row r="55">
          <cell r="K55">
            <v>0</v>
          </cell>
        </row>
        <row r="64">
          <cell r="I64">
            <v>0</v>
          </cell>
          <cell r="J64">
            <v>0</v>
          </cell>
          <cell r="K64">
            <v>0</v>
          </cell>
        </row>
        <row r="80">
          <cell r="I80">
            <v>0</v>
          </cell>
          <cell r="J80">
            <v>0</v>
          </cell>
          <cell r="K80">
            <v>0</v>
          </cell>
        </row>
        <row r="92">
          <cell r="I92">
            <v>0</v>
          </cell>
          <cell r="J92">
            <v>0</v>
          </cell>
          <cell r="K92">
            <v>0</v>
          </cell>
        </row>
      </sheetData>
      <sheetData sheetId="9">
        <row r="35">
          <cell r="J35">
            <v>0</v>
          </cell>
          <cell r="K35">
            <v>0</v>
          </cell>
        </row>
        <row r="50">
          <cell r="K50">
            <v>0</v>
          </cell>
        </row>
        <row r="59">
          <cell r="I59">
            <v>0</v>
          </cell>
          <cell r="J59">
            <v>0</v>
          </cell>
          <cell r="K59">
            <v>0</v>
          </cell>
        </row>
        <row r="69">
          <cell r="I69">
            <v>0</v>
          </cell>
          <cell r="J69">
            <v>0</v>
          </cell>
          <cell r="K69">
            <v>0</v>
          </cell>
        </row>
      </sheetData>
      <sheetData sheetId="10">
        <row r="79">
          <cell r="J79">
            <v>0</v>
          </cell>
          <cell r="K79">
            <v>0</v>
          </cell>
        </row>
        <row r="97">
          <cell r="K97">
            <v>0</v>
          </cell>
        </row>
        <row r="114">
          <cell r="I114">
            <v>0</v>
          </cell>
          <cell r="J114">
            <v>0</v>
          </cell>
          <cell r="K114">
            <v>0</v>
          </cell>
        </row>
        <row r="127">
          <cell r="I127">
            <v>0</v>
          </cell>
          <cell r="J127">
            <v>0</v>
          </cell>
          <cell r="K127">
            <v>0</v>
          </cell>
        </row>
        <row r="141">
          <cell r="I141">
            <v>0</v>
          </cell>
          <cell r="J141">
            <v>0</v>
          </cell>
          <cell r="K141">
            <v>0</v>
          </cell>
        </row>
        <row r="154">
          <cell r="I154">
            <v>0</v>
          </cell>
          <cell r="J154">
            <v>0</v>
          </cell>
          <cell r="K154">
            <v>0</v>
          </cell>
        </row>
        <row r="166">
          <cell r="I166">
            <v>0</v>
          </cell>
          <cell r="J166">
            <v>0</v>
          </cell>
          <cell r="K166">
            <v>0</v>
          </cell>
        </row>
        <row r="225">
          <cell r="I225">
            <v>0</v>
          </cell>
          <cell r="J225">
            <v>0</v>
          </cell>
          <cell r="K225">
            <v>0</v>
          </cell>
        </row>
        <row r="238">
          <cell r="I238">
            <v>0</v>
          </cell>
          <cell r="J238">
            <v>0</v>
          </cell>
          <cell r="K238">
            <v>0</v>
          </cell>
        </row>
        <row r="243">
          <cell r="J243">
            <v>0</v>
          </cell>
          <cell r="K243">
            <v>0</v>
          </cell>
        </row>
      </sheetData>
      <sheetData sheetId="11">
        <row r="40">
          <cell r="J40">
            <v>0</v>
          </cell>
          <cell r="K40">
            <v>0</v>
          </cell>
        </row>
        <row r="55">
          <cell r="K55">
            <v>0</v>
          </cell>
        </row>
        <row r="62">
          <cell r="I62">
            <v>0</v>
          </cell>
          <cell r="J62">
            <v>0</v>
          </cell>
          <cell r="K62">
            <v>0</v>
          </cell>
        </row>
        <row r="73">
          <cell r="I73">
            <v>0</v>
          </cell>
          <cell r="J73">
            <v>0</v>
          </cell>
          <cell r="K73">
            <v>0</v>
          </cell>
        </row>
        <row r="98">
          <cell r="K98">
            <v>0</v>
          </cell>
        </row>
      </sheetData>
      <sheetData sheetId="12">
        <row r="44">
          <cell r="J44">
            <v>0</v>
          </cell>
          <cell r="K44">
            <v>0</v>
          </cell>
        </row>
        <row r="49">
          <cell r="J49">
            <v>0</v>
          </cell>
          <cell r="K49">
            <v>0</v>
          </cell>
        </row>
        <row r="81">
          <cell r="J81">
            <v>0</v>
          </cell>
          <cell r="K81">
            <v>0</v>
          </cell>
        </row>
        <row r="101">
          <cell r="I101">
            <v>0</v>
          </cell>
          <cell r="J101">
            <v>0</v>
          </cell>
          <cell r="K101">
            <v>0</v>
          </cell>
        </row>
        <row r="117">
          <cell r="I117">
            <v>0</v>
          </cell>
          <cell r="J117">
            <v>0</v>
          </cell>
          <cell r="K117">
            <v>0</v>
          </cell>
        </row>
        <row r="129">
          <cell r="I129">
            <v>0</v>
          </cell>
          <cell r="J129">
            <v>0</v>
          </cell>
          <cell r="K129">
            <v>0</v>
          </cell>
        </row>
        <row r="138">
          <cell r="I138">
            <v>0</v>
          </cell>
          <cell r="J138">
            <v>0</v>
          </cell>
          <cell r="K138">
            <v>0</v>
          </cell>
        </row>
        <row r="151">
          <cell r="I151">
            <v>0</v>
          </cell>
          <cell r="J151">
            <v>0</v>
          </cell>
          <cell r="K151">
            <v>0</v>
          </cell>
        </row>
        <row r="159">
          <cell r="I159">
            <v>0</v>
          </cell>
          <cell r="J159">
            <v>0</v>
          </cell>
          <cell r="K159">
            <v>0</v>
          </cell>
        </row>
        <row r="174">
          <cell r="I174">
            <v>0</v>
          </cell>
          <cell r="J174">
            <v>0</v>
          </cell>
          <cell r="K174">
            <v>0</v>
          </cell>
        </row>
        <row r="180">
          <cell r="I180">
            <v>0</v>
          </cell>
          <cell r="J180">
            <v>0</v>
          </cell>
          <cell r="K180">
            <v>0</v>
          </cell>
        </row>
        <row r="188">
          <cell r="I188">
            <v>0</v>
          </cell>
          <cell r="J188">
            <v>0</v>
          </cell>
          <cell r="K188">
            <v>0</v>
          </cell>
        </row>
        <row r="208">
          <cell r="I208">
            <v>0</v>
          </cell>
          <cell r="J208">
            <v>0</v>
          </cell>
          <cell r="K208">
            <v>0</v>
          </cell>
        </row>
        <row r="215">
          <cell r="I215">
            <v>0</v>
          </cell>
          <cell r="J215">
            <v>0</v>
          </cell>
          <cell r="K215">
            <v>0</v>
          </cell>
        </row>
        <row r="221">
          <cell r="I221">
            <v>0</v>
          </cell>
          <cell r="J221">
            <v>0</v>
          </cell>
          <cell r="K221">
            <v>0</v>
          </cell>
        </row>
        <row r="229">
          <cell r="I229">
            <v>0</v>
          </cell>
          <cell r="J229">
            <v>0</v>
          </cell>
          <cell r="K229">
            <v>0</v>
          </cell>
        </row>
        <row r="243">
          <cell r="I243">
            <v>0</v>
          </cell>
          <cell r="J243">
            <v>0</v>
          </cell>
          <cell r="K243">
            <v>0</v>
          </cell>
        </row>
        <row r="251">
          <cell r="I251">
            <v>0</v>
          </cell>
          <cell r="J251">
            <v>0</v>
          </cell>
          <cell r="K251">
            <v>0</v>
          </cell>
        </row>
        <row r="409">
          <cell r="J409">
            <v>0</v>
          </cell>
          <cell r="K409">
            <v>0</v>
          </cell>
        </row>
        <row r="448">
          <cell r="I448">
            <v>0</v>
          </cell>
          <cell r="J448">
            <v>0</v>
          </cell>
          <cell r="K448">
            <v>0</v>
          </cell>
        </row>
        <row r="460">
          <cell r="I460">
            <v>0</v>
          </cell>
          <cell r="J460">
            <v>0</v>
          </cell>
          <cell r="K460">
            <v>0</v>
          </cell>
        </row>
        <row r="536">
          <cell r="K536">
            <v>0</v>
          </cell>
        </row>
        <row r="547">
          <cell r="I547">
            <v>0</v>
          </cell>
          <cell r="J547">
            <v>0</v>
          </cell>
          <cell r="K547">
            <v>0</v>
          </cell>
        </row>
        <row r="561">
          <cell r="I561">
            <v>0</v>
          </cell>
          <cell r="J561">
            <v>0</v>
          </cell>
          <cell r="K561">
            <v>0</v>
          </cell>
        </row>
        <row r="638">
          <cell r="J638">
            <v>0</v>
          </cell>
          <cell r="K638">
            <v>0</v>
          </cell>
        </row>
        <row r="655">
          <cell r="I655">
            <v>0</v>
          </cell>
          <cell r="J655">
            <v>0</v>
          </cell>
          <cell r="K655">
            <v>0</v>
          </cell>
        </row>
        <row r="665">
          <cell r="I665">
            <v>0</v>
          </cell>
          <cell r="J665">
            <v>0</v>
          </cell>
          <cell r="K665">
            <v>0</v>
          </cell>
        </row>
        <row r="681">
          <cell r="K681">
            <v>0</v>
          </cell>
        </row>
        <row r="694">
          <cell r="I694">
            <v>0</v>
          </cell>
          <cell r="J694">
            <v>0</v>
          </cell>
          <cell r="K694">
            <v>0</v>
          </cell>
        </row>
      </sheetData>
      <sheetData sheetId="13">
        <row r="62">
          <cell r="J62">
            <v>0</v>
          </cell>
          <cell r="K62">
            <v>0</v>
          </cell>
        </row>
        <row r="90">
          <cell r="I90">
            <v>0</v>
          </cell>
          <cell r="J90">
            <v>0</v>
          </cell>
          <cell r="K90">
            <v>0</v>
          </cell>
        </row>
        <row r="107">
          <cell r="I107">
            <v>0</v>
          </cell>
          <cell r="J107">
            <v>0</v>
          </cell>
          <cell r="K107">
            <v>0</v>
          </cell>
        </row>
        <row r="130">
          <cell r="I130">
            <v>0</v>
          </cell>
          <cell r="J130">
            <v>0</v>
          </cell>
          <cell r="K130">
            <v>0</v>
          </cell>
        </row>
        <row r="139">
          <cell r="I139">
            <v>0</v>
          </cell>
          <cell r="J139">
            <v>0</v>
          </cell>
          <cell r="K139">
            <v>0</v>
          </cell>
        </row>
        <row r="148">
          <cell r="I148">
            <v>0</v>
          </cell>
          <cell r="J148">
            <v>0</v>
          </cell>
          <cell r="K148">
            <v>0</v>
          </cell>
        </row>
        <row r="161">
          <cell r="I161">
            <v>0</v>
          </cell>
          <cell r="J161">
            <v>0</v>
          </cell>
          <cell r="K161">
            <v>0</v>
          </cell>
        </row>
      </sheetData>
      <sheetData sheetId="14">
        <row r="19">
          <cell r="J19">
            <v>0</v>
          </cell>
          <cell r="K19">
            <v>0</v>
          </cell>
          <cell r="L19">
            <v>600000</v>
          </cell>
        </row>
        <row r="49">
          <cell r="K49">
            <v>0</v>
          </cell>
        </row>
        <row r="84">
          <cell r="K84">
            <v>0</v>
          </cell>
        </row>
        <row r="105">
          <cell r="J105">
            <v>0</v>
          </cell>
          <cell r="K105">
            <v>0</v>
          </cell>
        </row>
        <row r="114">
          <cell r="I114">
            <v>0</v>
          </cell>
          <cell r="J114">
            <v>0</v>
          </cell>
          <cell r="K114">
            <v>0</v>
          </cell>
        </row>
        <row r="135">
          <cell r="H135">
            <v>337504.25</v>
          </cell>
          <cell r="J135">
            <v>62000</v>
          </cell>
        </row>
      </sheetData>
      <sheetData sheetId="15">
        <row r="2">
          <cell r="H2">
            <v>19277885.759999994</v>
          </cell>
        </row>
      </sheetData>
      <sheetData sheetId="16">
        <row r="104">
          <cell r="G104">
            <v>0</v>
          </cell>
        </row>
      </sheetData>
      <sheetData sheetId="17"/>
      <sheetData sheetId="18"/>
      <sheetData sheetId="19"/>
      <sheetData sheetId="20"/>
      <sheetData sheetId="21"/>
      <sheetData sheetId="22"/>
      <sheetData sheetId="23"/>
    </sheetDataSet>
  </externalBook>
</externalLink>
</file>

<file path=xl/persons/person.xml><?xml version="1.0" encoding="utf-8"?>
<personList xmlns="http://schemas.microsoft.com/office/spreadsheetml/2018/threadedcomments" xmlns:x="http://schemas.openxmlformats.org/spreadsheetml/2006/main">
  <person displayName="Ichun Yeh" id="{3DC21537-3383-4B40-977C-1758960A559B}" userId="S::iyeh@usmd.edu::6bff8d0e-2c09-4584-a741-3839e896ea21"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47" dT="2023-04-14T16:39:41.05" personId="{3DC21537-3383-4B40-977C-1758960A559B}" id="{13DF9AA1-CE8F-4BE5-93D1-65423CCED8B1}">
    <text>UMCP 42nd amnd North Campus Dining Hall
UMCP 42nd amnd New Residence Hall
UMCP 42nd Two New Residence Halls
UMCP 42nd North Campus Dining Hall Replacement
UMCP 41st Two New Residence Halls</text>
  </threadedComment>
</ThreadedComments>
</file>

<file path=xl/threadedComments/threadedComment2.xml><?xml version="1.0" encoding="utf-8"?>
<ThreadedComments xmlns="http://schemas.microsoft.com/office/spreadsheetml/2018/threadedcomments" xmlns:x="http://schemas.openxmlformats.org/spreadsheetml/2006/main">
  <threadedComment ref="B449" dT="2023-04-14T16:39:41.05" personId="{3DC21537-3383-4B40-977C-1758960A559B}" id="{842D598C-17EC-4175-9230-3D4FF03AF13E}">
    <text>UMCP 42nd amnd North Campus Dining Hall
UMCP 42nd amnd New Residence Hall
UMCP 42nd Two New Residence Halls
UMCP 42nd North Campus Dining Hall Replacement
UMCP 41st Two New Residence Halls</text>
  </threadedComment>
</ThreadedComments>
</file>

<file path=xl/threadedComments/threadedComment3.xml><?xml version="1.0" encoding="utf-8"?>
<ThreadedComments xmlns="http://schemas.microsoft.com/office/spreadsheetml/2018/threadedcomments" xmlns:x="http://schemas.openxmlformats.org/spreadsheetml/2006/main">
  <threadedComment ref="B449" dT="2023-04-14T16:39:41.05" personId="{3DC21537-3383-4B40-977C-1758960A559B}" id="{50F17AC3-1382-48BB-A10F-97603147A9F2}">
    <text>UMCP 42nd amnd North Campus Dining Hall
UMCP 42nd amnd New Residence Hall
UMCP 42nd Two New Residence Halls
UMCP 42nd North Campus Dining Hall Replacement
UMCP 41st Two New Residence Halls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8.xml"/><Relationship Id="rId1" Type="http://schemas.openxmlformats.org/officeDocument/2006/relationships/vmlDrawing" Target="../drawings/vmlDrawing8.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A1:CL599"/>
  <sheetViews>
    <sheetView tabSelected="1" zoomScaleNormal="100" workbookViewId="0">
      <pane xSplit="2" ySplit="9" topLeftCell="E59" activePane="bottomRight" state="frozen"/>
      <selection pane="topRight" activeCell="C1" sqref="C1"/>
      <selection pane="bottomLeft" activeCell="A10" sqref="A10"/>
      <selection pane="bottomRight" activeCell="J73" sqref="J73"/>
    </sheetView>
  </sheetViews>
  <sheetFormatPr defaultColWidth="13.6640625" defaultRowHeight="13.2" x14ac:dyDescent="0.25"/>
  <cols>
    <col min="1" max="1" width="9.6640625" style="29" customWidth="1"/>
    <col min="2" max="2" width="3.6640625" customWidth="1"/>
    <col min="3" max="5" width="13.6640625" style="3" customWidth="1"/>
    <col min="6" max="8" width="13.6640625" style="3"/>
    <col min="9" max="15" width="13.6640625" style="3" customWidth="1"/>
    <col min="16" max="16" width="3.6640625" style="5" customWidth="1"/>
    <col min="17" max="20" width="13.6640625" style="5" customWidth="1"/>
    <col min="21" max="21" width="3.6640625" style="5" customWidth="1"/>
    <col min="22" max="22" width="13.6640625" customWidth="1"/>
    <col min="23" max="23" width="15.44140625" customWidth="1"/>
    <col min="24" max="25" width="13.6640625" customWidth="1"/>
    <col min="26" max="26" width="3.6640625" style="5" customWidth="1"/>
    <col min="27" max="30" width="13.6640625" style="5" customWidth="1"/>
    <col min="31" max="31" width="3.6640625" style="5" customWidth="1"/>
    <col min="32" max="35" width="13.6640625" style="5" customWidth="1"/>
    <col min="36" max="36" width="3.6640625" style="5" customWidth="1"/>
    <col min="37" max="40" width="13.6640625" customWidth="1"/>
    <col min="41" max="41" width="3.6640625" customWidth="1"/>
    <col min="42" max="45" width="13.6640625" customWidth="1"/>
    <col min="46" max="46" width="3.6640625" style="5" customWidth="1"/>
    <col min="47" max="50" width="13.6640625" style="5" customWidth="1"/>
    <col min="51" max="51" width="3.6640625" style="5" customWidth="1"/>
    <col min="52" max="52" width="13.33203125" customWidth="1"/>
    <col min="53" max="53" width="12.6640625" customWidth="1"/>
    <col min="54" max="55" width="15.6640625" customWidth="1"/>
    <col min="56" max="56" width="3.6640625" customWidth="1"/>
    <col min="57" max="60" width="13.6640625" style="5" customWidth="1"/>
    <col min="61" max="61" width="3.6640625" style="5" customWidth="1"/>
    <col min="62" max="65" width="13.6640625" style="5"/>
    <col min="66" max="66" width="3.6640625" style="5" customWidth="1"/>
    <col min="67" max="70" width="13.6640625" style="5"/>
    <col min="71" max="71" width="3.6640625" style="5" customWidth="1"/>
    <col min="72" max="75" width="13.6640625" style="5"/>
    <col min="76" max="76" width="3.6640625" style="5" customWidth="1"/>
    <col min="77" max="80" width="13.6640625" style="6"/>
    <col min="81" max="81" width="3.6640625" style="6" customWidth="1"/>
    <col min="82" max="82" width="16.44140625" style="5" customWidth="1"/>
    <col min="83" max="85" width="13.6640625" style="5"/>
    <col min="86" max="86" width="3.6640625" style="5" customWidth="1"/>
    <col min="87" max="89" width="13.6640625" style="5" customWidth="1"/>
  </cols>
  <sheetData>
    <row r="1" spans="1:90" ht="12" customHeight="1" x14ac:dyDescent="0.25">
      <c r="A1" s="1"/>
      <c r="B1" s="2"/>
      <c r="D1" s="4"/>
      <c r="E1" s="4"/>
      <c r="I1" s="4" t="s">
        <v>27</v>
      </c>
      <c r="J1" s="4"/>
      <c r="K1" s="4"/>
      <c r="L1" s="4"/>
      <c r="M1" s="4"/>
      <c r="X1" s="4" t="s">
        <v>27</v>
      </c>
      <c r="Y1" s="4"/>
      <c r="AF1" s="4"/>
      <c r="AG1" s="4"/>
      <c r="AK1" s="4"/>
      <c r="AP1" s="4"/>
      <c r="AR1" s="4" t="s">
        <v>27</v>
      </c>
      <c r="AS1" s="4"/>
      <c r="BE1" s="4"/>
      <c r="BL1" s="4" t="s">
        <v>27</v>
      </c>
      <c r="BM1" s="4"/>
      <c r="BS1" s="4"/>
      <c r="BV1" s="4"/>
      <c r="BW1" s="4"/>
      <c r="CD1" s="5" t="s">
        <v>27</v>
      </c>
      <c r="CH1" s="4"/>
    </row>
    <row r="2" spans="1:90" ht="12" customHeight="1" x14ac:dyDescent="0.25">
      <c r="A2" s="1"/>
      <c r="B2" s="2"/>
      <c r="C2" s="380"/>
      <c r="D2" s="4"/>
      <c r="E2" s="4"/>
      <c r="I2" s="4" t="s">
        <v>26</v>
      </c>
      <c r="J2" s="4"/>
      <c r="K2" s="4"/>
      <c r="L2" s="4"/>
      <c r="M2" s="4"/>
      <c r="W2" s="5"/>
      <c r="X2" s="4" t="s">
        <v>26</v>
      </c>
      <c r="Y2" s="4"/>
      <c r="AF2" s="62"/>
      <c r="AG2" s="62"/>
      <c r="AK2" s="4"/>
      <c r="AL2" s="5"/>
      <c r="AM2" s="357"/>
      <c r="AN2" s="357"/>
      <c r="AP2" s="4"/>
      <c r="AQ2" s="5"/>
      <c r="AR2" s="4" t="s">
        <v>26</v>
      </c>
      <c r="AS2" s="4"/>
      <c r="BE2" s="4"/>
      <c r="BL2" s="4" t="s">
        <v>26</v>
      </c>
      <c r="BM2" s="4"/>
      <c r="BS2" s="4"/>
      <c r="BV2" s="4"/>
      <c r="BW2" s="4"/>
      <c r="CD2" s="5" t="s">
        <v>26</v>
      </c>
      <c r="CH2" s="4"/>
    </row>
    <row r="3" spans="1:90" ht="12" customHeight="1" x14ac:dyDescent="0.25">
      <c r="A3" s="1"/>
      <c r="B3" s="2"/>
      <c r="D3" s="7"/>
      <c r="E3" s="7"/>
      <c r="I3" s="62" t="s">
        <v>112</v>
      </c>
      <c r="J3" s="7"/>
      <c r="K3" s="7"/>
      <c r="L3" s="7"/>
      <c r="M3" s="7"/>
      <c r="X3" s="62" t="s">
        <v>112</v>
      </c>
      <c r="Y3" s="62"/>
      <c r="AF3" s="66"/>
      <c r="AK3" s="357"/>
      <c r="AL3" s="8"/>
      <c r="AP3" s="62"/>
      <c r="AR3" s="62" t="s">
        <v>112</v>
      </c>
      <c r="AS3" s="62"/>
      <c r="BE3" s="62"/>
      <c r="BL3" s="62" t="s">
        <v>112</v>
      </c>
      <c r="BM3" s="62"/>
      <c r="BS3" s="62"/>
      <c r="BV3" s="62"/>
      <c r="BW3" s="62"/>
      <c r="CD3" s="5" t="s">
        <v>112</v>
      </c>
      <c r="CH3" s="62"/>
    </row>
    <row r="4" spans="1:90" ht="12" customHeight="1" x14ac:dyDescent="0.25">
      <c r="A4" s="1"/>
      <c r="B4" s="2"/>
      <c r="C4" s="7"/>
      <c r="D4" s="4"/>
      <c r="E4" s="4"/>
      <c r="F4" s="4"/>
      <c r="G4" s="4"/>
      <c r="H4" s="4"/>
      <c r="I4" s="4"/>
      <c r="J4" s="4"/>
      <c r="K4" s="4"/>
      <c r="L4" s="4"/>
      <c r="M4" s="4"/>
      <c r="Q4" s="66"/>
      <c r="AK4" s="8"/>
      <c r="AL4" s="8"/>
      <c r="AM4" s="155"/>
      <c r="AN4" s="155"/>
      <c r="AP4" s="342"/>
      <c r="CF4" s="66"/>
      <c r="CG4" s="66"/>
    </row>
    <row r="5" spans="1:90" ht="12" customHeight="1" x14ac:dyDescent="0.25">
      <c r="A5" s="9" t="s">
        <v>0</v>
      </c>
      <c r="C5" s="67" t="s">
        <v>113</v>
      </c>
      <c r="D5" s="68"/>
      <c r="E5" s="10"/>
      <c r="F5" s="10"/>
      <c r="G5" s="10"/>
      <c r="H5" s="10"/>
      <c r="I5" s="10"/>
      <c r="J5" s="10"/>
      <c r="K5" s="10"/>
      <c r="L5" s="10"/>
      <c r="M5" s="10"/>
      <c r="N5" s="11"/>
      <c r="O5" s="386"/>
      <c r="Q5" s="149" t="s">
        <v>114</v>
      </c>
      <c r="R5" s="150"/>
      <c r="S5" s="151"/>
      <c r="T5" s="388"/>
      <c r="V5" s="180" t="s">
        <v>30</v>
      </c>
      <c r="W5" s="88"/>
      <c r="X5" s="89"/>
      <c r="Y5" s="390"/>
      <c r="AA5" s="180" t="s">
        <v>31</v>
      </c>
      <c r="AB5" s="88"/>
      <c r="AC5" s="89"/>
      <c r="AD5" s="391"/>
      <c r="AE5" s="93"/>
      <c r="AF5" s="162" t="s">
        <v>115</v>
      </c>
      <c r="AG5" s="163"/>
      <c r="AH5" s="159"/>
      <c r="AI5" s="392"/>
      <c r="AK5" s="164" t="s">
        <v>116</v>
      </c>
      <c r="AL5" s="165"/>
      <c r="AM5" s="159"/>
      <c r="AN5" s="392"/>
      <c r="AO5" s="3"/>
      <c r="AP5" s="403" t="s">
        <v>521</v>
      </c>
      <c r="AQ5" s="404"/>
      <c r="AR5" s="405"/>
      <c r="AS5" s="395"/>
      <c r="AU5" s="403" t="s">
        <v>111</v>
      </c>
      <c r="AV5" s="404"/>
      <c r="AW5" s="405"/>
      <c r="AX5" s="395"/>
      <c r="AZ5" s="403" t="s">
        <v>154</v>
      </c>
      <c r="BA5" s="404"/>
      <c r="BB5" s="405"/>
      <c r="BC5" s="395"/>
      <c r="BD5" s="3"/>
      <c r="BE5" s="403" t="s">
        <v>51</v>
      </c>
      <c r="BF5" s="404"/>
      <c r="BG5" s="405"/>
      <c r="BH5" s="395"/>
      <c r="BI5" s="6"/>
      <c r="BJ5" s="403" t="s">
        <v>73</v>
      </c>
      <c r="BK5" s="404"/>
      <c r="BL5" s="405"/>
      <c r="BM5" s="395"/>
      <c r="BN5" s="6"/>
      <c r="BO5" s="403" t="s">
        <v>29</v>
      </c>
      <c r="BP5" s="404"/>
      <c r="BQ5" s="405"/>
      <c r="BR5" s="395"/>
      <c r="BS5" s="6"/>
      <c r="BT5" s="403" t="s">
        <v>580</v>
      </c>
      <c r="BU5" s="404"/>
      <c r="BV5" s="405"/>
      <c r="BW5" s="395"/>
      <c r="BX5" s="6"/>
      <c r="BY5" s="87" t="s">
        <v>52</v>
      </c>
      <c r="BZ5" s="88"/>
      <c r="CA5" s="89"/>
      <c r="CB5" s="395"/>
      <c r="CC5"/>
      <c r="CD5" s="166" t="s">
        <v>52</v>
      </c>
      <c r="CE5" s="167"/>
      <c r="CF5" s="168"/>
      <c r="CG5" s="395"/>
      <c r="CI5" s="175" t="s">
        <v>52</v>
      </c>
      <c r="CJ5" s="176"/>
      <c r="CK5" s="177"/>
      <c r="CL5" s="395"/>
    </row>
    <row r="6" spans="1:90" s="8" customFormat="1" ht="12" customHeight="1" x14ac:dyDescent="0.25">
      <c r="A6" s="19" t="s">
        <v>1</v>
      </c>
      <c r="C6" s="156" t="s">
        <v>162</v>
      </c>
      <c r="D6" s="157"/>
      <c r="E6" s="397"/>
      <c r="F6" s="158" t="s">
        <v>163</v>
      </c>
      <c r="G6" s="159"/>
      <c r="H6" s="165"/>
      <c r="I6" s="160" t="s">
        <v>164</v>
      </c>
      <c r="J6" s="161"/>
      <c r="K6" s="161"/>
      <c r="L6" s="398" t="s">
        <v>165</v>
      </c>
      <c r="M6" s="398"/>
      <c r="N6" s="399"/>
      <c r="O6" s="387"/>
      <c r="P6" s="5"/>
      <c r="Q6" s="152" t="s">
        <v>158</v>
      </c>
      <c r="R6" s="153"/>
      <c r="S6" s="154"/>
      <c r="T6" s="389"/>
      <c r="U6" s="5"/>
      <c r="V6" s="82"/>
      <c r="W6" s="83" t="s">
        <v>160</v>
      </c>
      <c r="X6" s="22"/>
      <c r="Y6" s="55"/>
      <c r="Z6" s="5"/>
      <c r="AA6" s="23"/>
      <c r="AB6" s="83" t="s">
        <v>160</v>
      </c>
      <c r="AC6" s="22"/>
      <c r="AD6" s="55"/>
      <c r="AE6" s="55"/>
      <c r="AF6" s="92" t="s">
        <v>636</v>
      </c>
      <c r="AG6" s="320"/>
      <c r="AH6" s="321"/>
      <c r="AI6" s="393"/>
      <c r="AJ6" s="5"/>
      <c r="AK6" s="400" t="s">
        <v>635</v>
      </c>
      <c r="AL6" s="401"/>
      <c r="AM6" s="402"/>
      <c r="AN6" s="394"/>
      <c r="AO6" s="55"/>
      <c r="AP6" s="84"/>
      <c r="AQ6" s="85" t="s">
        <v>159</v>
      </c>
      <c r="AR6" s="86"/>
      <c r="AS6" s="396"/>
      <c r="AT6" s="5"/>
      <c r="AU6" s="84" t="s">
        <v>99</v>
      </c>
      <c r="AV6" s="85" t="s">
        <v>159</v>
      </c>
      <c r="AW6" s="22"/>
      <c r="AX6" s="55"/>
      <c r="AY6" s="5"/>
      <c r="AZ6" s="92"/>
      <c r="BA6" s="85" t="s">
        <v>159</v>
      </c>
      <c r="BB6" s="86"/>
      <c r="BC6" s="55"/>
      <c r="BD6" s="55"/>
      <c r="BE6" s="23"/>
      <c r="BF6" s="85" t="s">
        <v>159</v>
      </c>
      <c r="BG6" s="22"/>
      <c r="BH6" s="55"/>
      <c r="BI6" s="55"/>
      <c r="BJ6" s="23"/>
      <c r="BK6" s="85" t="s">
        <v>159</v>
      </c>
      <c r="BL6" s="22"/>
      <c r="BM6" s="55"/>
      <c r="BN6" s="55"/>
      <c r="BO6" s="349"/>
      <c r="BP6" s="85" t="s">
        <v>159</v>
      </c>
      <c r="BQ6" s="350"/>
      <c r="BR6" s="55"/>
      <c r="BS6" s="55"/>
      <c r="BT6" s="23"/>
      <c r="BU6" s="85" t="s">
        <v>159</v>
      </c>
      <c r="BV6" s="22"/>
      <c r="BW6" s="55"/>
      <c r="BX6" s="55"/>
      <c r="BY6" s="172"/>
      <c r="BZ6" s="173" t="s">
        <v>160</v>
      </c>
      <c r="CA6" s="174"/>
      <c r="CB6" s="55"/>
      <c r="CD6" s="169"/>
      <c r="CE6" s="170" t="s">
        <v>159</v>
      </c>
      <c r="CF6" s="171"/>
      <c r="CG6" s="55"/>
      <c r="CH6" s="5"/>
      <c r="CI6" s="178"/>
      <c r="CJ6" s="179" t="s">
        <v>161</v>
      </c>
      <c r="CK6" s="154"/>
      <c r="CL6" s="55"/>
    </row>
    <row r="7" spans="1:90" s="8" customFormat="1" ht="12" customHeight="1" x14ac:dyDescent="0.25">
      <c r="A7" s="19"/>
      <c r="C7" s="34"/>
      <c r="D7" s="15"/>
      <c r="E7" s="26" t="s">
        <v>639</v>
      </c>
      <c r="F7" s="15"/>
      <c r="G7" s="15"/>
      <c r="H7" s="26" t="s">
        <v>639</v>
      </c>
      <c r="I7" s="15"/>
      <c r="J7" s="15"/>
      <c r="K7" s="26" t="s">
        <v>639</v>
      </c>
      <c r="L7" s="15"/>
      <c r="M7" s="15"/>
      <c r="N7" s="14"/>
      <c r="O7" s="26" t="s">
        <v>639</v>
      </c>
      <c r="P7" s="5"/>
      <c r="Q7" s="20"/>
      <c r="R7" s="21"/>
      <c r="S7" s="22"/>
      <c r="T7" s="26" t="s">
        <v>639</v>
      </c>
      <c r="U7" s="5"/>
      <c r="V7" s="382">
        <v>0.44263570000000002</v>
      </c>
      <c r="W7" s="383">
        <v>0.49710175547611635</v>
      </c>
      <c r="X7" s="384">
        <v>0.50093742213599546</v>
      </c>
      <c r="Y7" s="26" t="s">
        <v>639</v>
      </c>
      <c r="Z7" s="5"/>
      <c r="AA7" s="23">
        <v>0.49205759999999998</v>
      </c>
      <c r="AB7" s="24">
        <v>0.49205764783907013</v>
      </c>
      <c r="AC7" s="22">
        <v>0.49205764783907013</v>
      </c>
      <c r="AD7" s="26" t="s">
        <v>639</v>
      </c>
      <c r="AE7" s="340"/>
      <c r="AF7" s="20"/>
      <c r="AG7" s="21"/>
      <c r="AH7" s="22">
        <f>'20-Year Acad Revised'!J6+'20-Year Fac Renewal Acad'!J6</f>
        <v>0.26387820075000007</v>
      </c>
      <c r="AI7" s="26" t="s">
        <v>639</v>
      </c>
      <c r="AJ7" s="5"/>
      <c r="AK7" s="20">
        <f>+AZ7+BE7+BJ7+BO7+CD7+AP7+AU7+BT7</f>
        <v>1</v>
      </c>
      <c r="AL7" s="20">
        <f>+BA7+BF7+BK7+BP7+CE7+AQ7+AV7+BU7</f>
        <v>1</v>
      </c>
      <c r="AM7" s="20">
        <f>+BB7+BG7+BL7+BQ7+CF7+AR7+AW7+BV7</f>
        <v>0.7361217992500001</v>
      </c>
      <c r="AN7" s="26" t="s">
        <v>639</v>
      </c>
      <c r="AO7" s="55"/>
      <c r="AP7" s="23"/>
      <c r="AQ7" s="24"/>
      <c r="AR7" s="22"/>
      <c r="AS7" s="26" t="s">
        <v>639</v>
      </c>
      <c r="AT7" s="5"/>
      <c r="AU7" s="23"/>
      <c r="AV7" s="24"/>
      <c r="AW7" s="22">
        <v>7.134843000000001E-3</v>
      </c>
      <c r="AX7" s="26" t="s">
        <v>639</v>
      </c>
      <c r="AY7" s="5"/>
      <c r="AZ7" s="35">
        <v>4.9299213750000001E-2</v>
      </c>
      <c r="BA7" s="24">
        <v>5.1766701750000005E-2</v>
      </c>
      <c r="BB7" s="22">
        <v>5.6344599250000016E-2</v>
      </c>
      <c r="BC7" s="26" t="s">
        <v>639</v>
      </c>
      <c r="BD7" s="55"/>
      <c r="BE7" s="23"/>
      <c r="BF7" s="24"/>
      <c r="BG7" s="22">
        <v>2.2507152500000002E-3</v>
      </c>
      <c r="BH7" s="26" t="s">
        <v>639</v>
      </c>
      <c r="BI7" s="55"/>
      <c r="BJ7" s="23"/>
      <c r="BK7" s="24"/>
      <c r="BL7" s="22">
        <v>4.7136646250000004E-2</v>
      </c>
      <c r="BM7" s="26" t="s">
        <v>639</v>
      </c>
      <c r="BN7" s="55"/>
      <c r="BO7" s="349"/>
      <c r="BP7" s="21"/>
      <c r="BQ7" s="79">
        <v>7.2046272500000024E-3</v>
      </c>
      <c r="BR7" s="26" t="s">
        <v>639</v>
      </c>
      <c r="BS7" s="55"/>
      <c r="BT7" s="23"/>
      <c r="BU7" s="24"/>
      <c r="BV7" s="22">
        <v>0</v>
      </c>
      <c r="BW7" s="26" t="s">
        <v>639</v>
      </c>
      <c r="BX7" s="55"/>
      <c r="BY7" s="23">
        <v>6.5306665086010129E-2</v>
      </c>
      <c r="BZ7" s="24">
        <v>1.0840596684813474E-2</v>
      </c>
      <c r="CA7" s="22">
        <v>7.0049300249345001E-3</v>
      </c>
      <c r="CB7" s="26" t="s">
        <v>639</v>
      </c>
      <c r="CD7" s="23">
        <v>0.9507007862500001</v>
      </c>
      <c r="CE7" s="24">
        <v>0.94823329825000002</v>
      </c>
      <c r="CF7" s="22">
        <v>0.61605036825000004</v>
      </c>
      <c r="CG7" s="26" t="s">
        <v>639</v>
      </c>
      <c r="CH7" s="5"/>
      <c r="CI7" s="35">
        <v>0.50176832360000001</v>
      </c>
      <c r="CJ7" s="341">
        <v>0.13472001</v>
      </c>
      <c r="CK7" s="356" t="s">
        <v>522</v>
      </c>
      <c r="CL7" s="26" t="s">
        <v>639</v>
      </c>
    </row>
    <row r="8" spans="1:90" s="8" customFormat="1" ht="12" customHeight="1" x14ac:dyDescent="0.25">
      <c r="A8" s="19"/>
      <c r="C8" s="34"/>
      <c r="D8" s="15"/>
      <c r="E8" s="26" t="s">
        <v>640</v>
      </c>
      <c r="F8" s="15"/>
      <c r="G8" s="15"/>
      <c r="H8" s="26" t="s">
        <v>640</v>
      </c>
      <c r="I8" s="15"/>
      <c r="J8" s="15"/>
      <c r="K8" s="26" t="s">
        <v>640</v>
      </c>
      <c r="L8" s="15"/>
      <c r="M8" s="15"/>
      <c r="N8" s="14"/>
      <c r="O8" s="26" t="s">
        <v>640</v>
      </c>
      <c r="P8" s="5"/>
      <c r="Q8" s="20"/>
      <c r="R8" s="21"/>
      <c r="S8" s="22"/>
      <c r="T8" s="26" t="s">
        <v>640</v>
      </c>
      <c r="U8" s="5"/>
      <c r="V8" s="385">
        <v>0.50794235049258896</v>
      </c>
      <c r="W8" s="383"/>
      <c r="X8" s="384"/>
      <c r="Y8" s="26" t="s">
        <v>640</v>
      </c>
      <c r="Z8" s="5"/>
      <c r="AA8" s="379">
        <v>0.49205764950741138</v>
      </c>
      <c r="AB8" s="24"/>
      <c r="AC8" s="22"/>
      <c r="AD8" s="26" t="s">
        <v>640</v>
      </c>
      <c r="AE8" s="340"/>
      <c r="AF8" s="22">
        <f>'20-Year Acad Revised'!H7+'20-Year Fac Renewal Acad'!H7</f>
        <v>0.65533055925000006</v>
      </c>
      <c r="AG8" s="116">
        <f>'20-Year Acad Revised'!I7+'20-Year Fac Renewal Acad'!I7</f>
        <v>0.7124946767264746</v>
      </c>
      <c r="AH8" s="22"/>
      <c r="AI8" s="26" t="s">
        <v>640</v>
      </c>
      <c r="AJ8" s="5"/>
      <c r="AK8" s="20">
        <f>+BE8+BJ8+BO8+CD8+AP8+AU8+BT8</f>
        <v>0.34466932950000001</v>
      </c>
      <c r="AL8" s="381">
        <f>+BF8+BK8+BP8+CE8+AQ8+AV8+BU8</f>
        <v>0.2875053232735254</v>
      </c>
      <c r="AM8" s="20"/>
      <c r="AN8" s="26" t="s">
        <v>640</v>
      </c>
      <c r="AO8" s="55"/>
      <c r="AP8" s="375">
        <v>1.9683175E-4</v>
      </c>
      <c r="AQ8" s="378">
        <v>1.96570209306828E-4</v>
      </c>
      <c r="AR8" s="22"/>
      <c r="AS8" s="26" t="s">
        <v>640</v>
      </c>
      <c r="AT8" s="5"/>
      <c r="AU8" s="375">
        <v>9.1952730000000003E-3</v>
      </c>
      <c r="AV8" s="378">
        <v>9.1830547573926655E-3</v>
      </c>
      <c r="AW8" s="22"/>
      <c r="AX8" s="26" t="s">
        <v>640</v>
      </c>
      <c r="AY8" s="5"/>
      <c r="AZ8" s="376" t="s">
        <v>577</v>
      </c>
      <c r="BA8" s="24"/>
      <c r="BB8" s="22"/>
      <c r="BC8" s="26" t="s">
        <v>640</v>
      </c>
      <c r="BD8" s="55"/>
      <c r="BE8" s="375">
        <v>3.0216227499999999E-3</v>
      </c>
      <c r="BF8" s="378">
        <v>3.0550579327917327E-3</v>
      </c>
      <c r="BG8" s="22"/>
      <c r="BH8" s="26" t="s">
        <v>640</v>
      </c>
      <c r="BI8" s="55"/>
      <c r="BJ8" s="375">
        <v>0.20005960449999999</v>
      </c>
      <c r="BK8" s="378">
        <v>0.2126852636466702</v>
      </c>
      <c r="BL8" s="22"/>
      <c r="BM8" s="26" t="s">
        <v>640</v>
      </c>
      <c r="BN8" s="55"/>
      <c r="BO8" s="377">
        <v>5.6156897499999997E-2</v>
      </c>
      <c r="BP8" s="109">
        <v>5.6333435459285999E-2</v>
      </c>
      <c r="BR8" s="26" t="s">
        <v>640</v>
      </c>
      <c r="BS8" s="55"/>
      <c r="BT8" s="375">
        <v>0</v>
      </c>
      <c r="BU8" s="378">
        <v>1.3640376199838403E-3</v>
      </c>
      <c r="BV8" s="22"/>
      <c r="BW8" s="26" t="s">
        <v>640</v>
      </c>
      <c r="BX8" s="55"/>
      <c r="BY8" s="375" t="s">
        <v>522</v>
      </c>
      <c r="BZ8" s="24"/>
      <c r="CA8" s="22"/>
      <c r="CB8" s="26" t="s">
        <v>640</v>
      </c>
      <c r="CD8" s="375">
        <f>7.1345%+0.46941%</f>
        <v>7.6039099999999998E-2</v>
      </c>
      <c r="CE8" s="378">
        <v>4.6879036480941775E-3</v>
      </c>
      <c r="CF8" s="22"/>
      <c r="CG8" s="26" t="s">
        <v>640</v>
      </c>
      <c r="CH8" s="5"/>
      <c r="CI8" s="371"/>
      <c r="CJ8" s="341"/>
      <c r="CK8" s="22"/>
      <c r="CL8" s="26" t="s">
        <v>640</v>
      </c>
    </row>
    <row r="9" spans="1:90" ht="12" customHeight="1" x14ac:dyDescent="0.25">
      <c r="A9" s="25"/>
      <c r="C9" s="60" t="s">
        <v>2</v>
      </c>
      <c r="D9" s="26" t="s">
        <v>3</v>
      </c>
      <c r="E9" s="26" t="s">
        <v>4</v>
      </c>
      <c r="F9" s="60" t="s">
        <v>2</v>
      </c>
      <c r="G9" s="26" t="s">
        <v>3</v>
      </c>
      <c r="H9" s="26" t="s">
        <v>4</v>
      </c>
      <c r="I9" s="60" t="s">
        <v>2</v>
      </c>
      <c r="J9" s="26" t="s">
        <v>3</v>
      </c>
      <c r="K9" s="26" t="s">
        <v>4</v>
      </c>
      <c r="L9" s="26" t="s">
        <v>74</v>
      </c>
      <c r="M9" s="26" t="s">
        <v>75</v>
      </c>
      <c r="N9" s="26" t="s">
        <v>4</v>
      </c>
      <c r="O9" s="26" t="s">
        <v>4</v>
      </c>
      <c r="Q9" s="26" t="s">
        <v>2</v>
      </c>
      <c r="R9" s="60" t="s">
        <v>3</v>
      </c>
      <c r="S9" s="26" t="s">
        <v>4</v>
      </c>
      <c r="T9" s="26" t="s">
        <v>4</v>
      </c>
      <c r="V9" s="27" t="s">
        <v>2</v>
      </c>
      <c r="W9" s="27" t="s">
        <v>3</v>
      </c>
      <c r="X9" s="27" t="s">
        <v>4</v>
      </c>
      <c r="Y9" s="26" t="s">
        <v>4</v>
      </c>
      <c r="AA9" s="27" t="s">
        <v>2</v>
      </c>
      <c r="AB9" s="27" t="s">
        <v>3</v>
      </c>
      <c r="AC9" s="27" t="s">
        <v>4</v>
      </c>
      <c r="AD9" s="26" t="s">
        <v>4</v>
      </c>
      <c r="AE9" s="27"/>
      <c r="AF9" s="26" t="s">
        <v>2</v>
      </c>
      <c r="AG9" s="60" t="s">
        <v>3</v>
      </c>
      <c r="AH9" s="26" t="s">
        <v>4</v>
      </c>
      <c r="AI9" s="26" t="s">
        <v>4</v>
      </c>
      <c r="AK9" s="26" t="s">
        <v>2</v>
      </c>
      <c r="AL9" s="26" t="s">
        <v>3</v>
      </c>
      <c r="AM9" s="26" t="s">
        <v>4</v>
      </c>
      <c r="AN9" s="26" t="s">
        <v>4</v>
      </c>
      <c r="AO9" s="61"/>
      <c r="AP9" s="27" t="s">
        <v>2</v>
      </c>
      <c r="AQ9" s="27" t="s">
        <v>3</v>
      </c>
      <c r="AR9" s="27" t="s">
        <v>4</v>
      </c>
      <c r="AS9" s="26" t="s">
        <v>4</v>
      </c>
      <c r="AU9" s="27" t="s">
        <v>2</v>
      </c>
      <c r="AV9" s="27" t="s">
        <v>3</v>
      </c>
      <c r="AW9" s="27" t="s">
        <v>4</v>
      </c>
      <c r="AX9" s="26" t="s">
        <v>4</v>
      </c>
      <c r="AZ9" s="27" t="s">
        <v>2</v>
      </c>
      <c r="BA9" s="27" t="s">
        <v>3</v>
      </c>
      <c r="BB9" s="27" t="s">
        <v>4</v>
      </c>
      <c r="BC9" s="26" t="s">
        <v>4</v>
      </c>
      <c r="BD9" s="61"/>
      <c r="BE9" s="27" t="s">
        <v>2</v>
      </c>
      <c r="BF9" s="27" t="s">
        <v>3</v>
      </c>
      <c r="BG9" s="27" t="s">
        <v>4</v>
      </c>
      <c r="BH9" s="26" t="s">
        <v>4</v>
      </c>
      <c r="BI9" s="28"/>
      <c r="BJ9" s="27" t="s">
        <v>2</v>
      </c>
      <c r="BK9" s="27" t="s">
        <v>3</v>
      </c>
      <c r="BL9" s="27" t="s">
        <v>4</v>
      </c>
      <c r="BM9" s="26" t="s">
        <v>4</v>
      </c>
      <c r="BN9" s="28"/>
      <c r="BO9" s="27" t="s">
        <v>2</v>
      </c>
      <c r="BP9" s="27" t="s">
        <v>3</v>
      </c>
      <c r="BQ9" s="27" t="s">
        <v>4</v>
      </c>
      <c r="BR9" s="26" t="s">
        <v>4</v>
      </c>
      <c r="BS9" s="28"/>
      <c r="BT9" s="27" t="s">
        <v>2</v>
      </c>
      <c r="BU9" s="27" t="s">
        <v>3</v>
      </c>
      <c r="BV9" s="27" t="s">
        <v>4</v>
      </c>
      <c r="BW9" s="26" t="s">
        <v>4</v>
      </c>
      <c r="BX9" s="28"/>
      <c r="BY9" s="27" t="s">
        <v>2</v>
      </c>
      <c r="BZ9" s="27" t="s">
        <v>3</v>
      </c>
      <c r="CA9" s="27" t="s">
        <v>4</v>
      </c>
      <c r="CB9" s="26" t="s">
        <v>4</v>
      </c>
      <c r="CC9"/>
      <c r="CD9" s="27" t="s">
        <v>2</v>
      </c>
      <c r="CE9" s="27" t="s">
        <v>3</v>
      </c>
      <c r="CF9" s="27" t="s">
        <v>4</v>
      </c>
      <c r="CG9" s="26" t="s">
        <v>4</v>
      </c>
      <c r="CI9" s="27" t="s">
        <v>2</v>
      </c>
      <c r="CJ9" s="27" t="s">
        <v>3</v>
      </c>
      <c r="CK9" s="27" t="s">
        <v>4</v>
      </c>
      <c r="CL9" s="26" t="s">
        <v>4</v>
      </c>
    </row>
    <row r="10" spans="1:90" s="36" customFormat="1" ht="12" customHeight="1" x14ac:dyDescent="0.25">
      <c r="A10" s="29">
        <v>45200</v>
      </c>
      <c r="C10" s="48"/>
      <c r="D10" s="3">
        <v>790375</v>
      </c>
      <c r="E10" s="3">
        <f>97157-19</f>
        <v>97138</v>
      </c>
      <c r="F10" s="48"/>
      <c r="G10" s="3">
        <v>660450</v>
      </c>
      <c r="H10" s="3">
        <f>112831-11</f>
        <v>112820</v>
      </c>
      <c r="I10" s="48"/>
      <c r="J10" s="3">
        <v>482875</v>
      </c>
      <c r="K10" s="3">
        <f>129308-7</f>
        <v>129301</v>
      </c>
      <c r="L10" s="48"/>
      <c r="M10" s="3">
        <f t="shared" ref="M10:M39" si="0">D10+G10+J10</f>
        <v>1933700</v>
      </c>
      <c r="N10" s="3">
        <f t="shared" ref="N10:N67" si="1">L10+M10</f>
        <v>1933700</v>
      </c>
      <c r="O10" s="3">
        <f>E10+H10+K10</f>
        <v>339259</v>
      </c>
      <c r="Q10" s="48"/>
      <c r="R10" s="3">
        <f>'10-Year Fac Renewal Revised'!I9</f>
        <v>482874.99999999994</v>
      </c>
      <c r="S10" s="5">
        <f>Q10+R10</f>
        <v>482874.99999999994</v>
      </c>
      <c r="T10" s="3">
        <f>'10-Year Fac Renewal Revised'!K9</f>
        <v>129300.99999999999</v>
      </c>
      <c r="V10" s="3"/>
      <c r="W10" s="3">
        <f>D10*X7</f>
        <v>395928.41502073739</v>
      </c>
      <c r="X10" s="3">
        <f>V10+W10</f>
        <v>395928.41502073739</v>
      </c>
      <c r="Y10" s="3">
        <f>X$7*$E10</f>
        <v>48660.059311446326</v>
      </c>
      <c r="Z10" s="3"/>
      <c r="AA10" s="3"/>
      <c r="AB10" s="3">
        <f>D10*AC7</f>
        <v>388910.06341080507</v>
      </c>
      <c r="AC10" s="3">
        <f>AA10+AB10</f>
        <v>388910.06341080507</v>
      </c>
      <c r="AD10" s="3">
        <f>AC$7*$E10</f>
        <v>47797.495795791598</v>
      </c>
      <c r="AE10" s="3"/>
      <c r="AF10" s="3">
        <f>'20-Year Acad Revised'!H9+'20-Year Fac Renewal Acad'!H9</f>
        <v>0</v>
      </c>
      <c r="AG10" s="3">
        <f>'20-Year Acad Revised'!I9+'20-Year Fac Renewal Acad'!I9</f>
        <v>174278.35768533754</v>
      </c>
      <c r="AH10" s="3">
        <f>AF10+AG10</f>
        <v>174278.35768533754</v>
      </c>
      <c r="AI10" s="3">
        <f>'20-Year Acad Revised'!K9+'20-Year Fac Renewal Acad'!K9</f>
        <v>29770.738608615007</v>
      </c>
      <c r="AJ10" s="3"/>
      <c r="AK10" s="3"/>
      <c r="AL10" s="3">
        <f>+BA10+BF10+BK10+BP10+CE10+BU10+AQ10+AV10</f>
        <v>486171.64231466252</v>
      </c>
      <c r="AM10" s="3">
        <f>AK10+AL10</f>
        <v>486171.64231466252</v>
      </c>
      <c r="AN10" s="3">
        <f>+BC10+BH10+BM10+BR10+CG10+BW10+AS10+AX10</f>
        <v>83049.261391385007</v>
      </c>
      <c r="AO10" s="3"/>
      <c r="AP10" s="3"/>
      <c r="AQ10" s="3"/>
      <c r="AR10" s="3">
        <f>AP10+AQ10</f>
        <v>0</v>
      </c>
      <c r="AS10" s="3">
        <f>AR$7*$H10</f>
        <v>0</v>
      </c>
      <c r="AT10" s="3"/>
      <c r="AU10" s="3"/>
      <c r="AV10" s="3">
        <f>G10*AW7</f>
        <v>4712.2070593500002</v>
      </c>
      <c r="AW10" s="3">
        <f>AU10+AV10</f>
        <v>4712.2070593500002</v>
      </c>
      <c r="AX10" s="3">
        <f>AW$7*$H10</f>
        <v>804.9529872600001</v>
      </c>
      <c r="AY10" s="3"/>
      <c r="AZ10" s="3"/>
      <c r="BA10" s="3">
        <f>G10*BB7</f>
        <v>37212.790574662511</v>
      </c>
      <c r="BB10" s="3">
        <f>AZ10+BA10</f>
        <v>37212.790574662511</v>
      </c>
      <c r="BC10" s="3">
        <f>BB$7*$H10</f>
        <v>6356.7976873850021</v>
      </c>
      <c r="BD10" s="3"/>
      <c r="BE10" s="3"/>
      <c r="BF10" s="3">
        <f>G10*BG7</f>
        <v>1486.4848868625002</v>
      </c>
      <c r="BG10" s="3">
        <f>BE10+BF10</f>
        <v>1486.4848868625002</v>
      </c>
      <c r="BH10" s="3">
        <f>BG$7*$H10</f>
        <v>253.92569450500002</v>
      </c>
      <c r="BI10" s="3"/>
      <c r="BJ10" s="3"/>
      <c r="BK10" s="3">
        <f>G10*BL7</f>
        <v>31131.398015812501</v>
      </c>
      <c r="BL10" s="3">
        <f>BJ10+BK10</f>
        <v>31131.398015812501</v>
      </c>
      <c r="BM10" s="3">
        <f>BL$7*$H10</f>
        <v>5317.9564299250005</v>
      </c>
      <c r="BN10" s="3"/>
      <c r="BO10" s="3"/>
      <c r="BP10" s="3">
        <f>G10*BQ7</f>
        <v>4758.2960672625013</v>
      </c>
      <c r="BQ10" s="3">
        <f>BO10+BP10</f>
        <v>4758.2960672625013</v>
      </c>
      <c r="BR10" s="3">
        <f>BQ$7*$H10</f>
        <v>812.82604634500024</v>
      </c>
      <c r="BS10" s="3"/>
      <c r="BT10" s="3"/>
      <c r="BU10" s="3"/>
      <c r="BV10" s="3">
        <f>BT10+BU10</f>
        <v>0</v>
      </c>
      <c r="BW10" s="3">
        <f>BV$7*$H10</f>
        <v>0</v>
      </c>
      <c r="BX10" s="3"/>
      <c r="BY10" s="3"/>
      <c r="BZ10" s="3">
        <f>D10*CA7</f>
        <v>5536.5215684576051</v>
      </c>
      <c r="CA10" s="3">
        <f>BY10+BZ10</f>
        <v>5536.5215684576051</v>
      </c>
      <c r="CB10" s="3">
        <f>CA$7*$H10</f>
        <v>790.29620541311033</v>
      </c>
      <c r="CC10" s="3"/>
      <c r="CD10" s="3"/>
      <c r="CE10" s="3">
        <f>G10*CF7</f>
        <v>406870.46571071254</v>
      </c>
      <c r="CF10" s="3">
        <f>CD10+CE10</f>
        <v>406870.46571071254</v>
      </c>
      <c r="CG10" s="3">
        <f>CF$7*$H10</f>
        <v>69502.802545965009</v>
      </c>
      <c r="CH10" s="3"/>
      <c r="CI10" s="3"/>
      <c r="CJ10" s="3"/>
      <c r="CK10" s="3"/>
      <c r="CL10" s="3"/>
    </row>
    <row r="11" spans="1:90" ht="12" customHeight="1" x14ac:dyDescent="0.25">
      <c r="A11" s="29">
        <v>45383</v>
      </c>
      <c r="C11" s="3">
        <v>890000</v>
      </c>
      <c r="D11" s="3">
        <v>790375</v>
      </c>
      <c r="E11" s="3">
        <v>97157</v>
      </c>
      <c r="F11" s="3">
        <v>1195000</v>
      </c>
      <c r="G11" s="3">
        <v>660450</v>
      </c>
      <c r="H11" s="3">
        <v>112831</v>
      </c>
      <c r="I11" s="3">
        <v>1750000</v>
      </c>
      <c r="J11" s="3">
        <v>482875</v>
      </c>
      <c r="K11" s="3">
        <v>129308</v>
      </c>
      <c r="L11" s="3">
        <f>C11+F11+I11</f>
        <v>3835000</v>
      </c>
      <c r="M11" s="3">
        <f t="shared" si="0"/>
        <v>1933700</v>
      </c>
      <c r="N11" s="3">
        <f t="shared" si="1"/>
        <v>5768700</v>
      </c>
      <c r="O11" s="3">
        <f t="shared" ref="O11:O67" si="2">E11+H11+K11</f>
        <v>339296</v>
      </c>
      <c r="Q11" s="3">
        <f>'10-Year Fac Renewal Revised'!H10</f>
        <v>1749999.9999999995</v>
      </c>
      <c r="R11" s="3">
        <f>'10-Year Fac Renewal Revised'!I10</f>
        <v>482874.99999999994</v>
      </c>
      <c r="S11" s="5">
        <f>Q11+R11</f>
        <v>2232874.9999999995</v>
      </c>
      <c r="T11" s="3">
        <f>'10-Year Fac Renewal Revised'!K10</f>
        <v>129307.99999999999</v>
      </c>
      <c r="V11" s="5">
        <f>C11*$V$8</f>
        <v>452068.69193840417</v>
      </c>
      <c r="W11" s="5">
        <f>D11*$V$8</f>
        <v>401464.93527058</v>
      </c>
      <c r="X11" s="5">
        <f>V11+W11</f>
        <v>853533.62720898422</v>
      </c>
      <c r="Y11" s="5">
        <f>V$8*$E11</f>
        <v>49350.154946808463</v>
      </c>
      <c r="AA11" s="5">
        <f>C11*$AA$8</f>
        <v>437931.30806159612</v>
      </c>
      <c r="AB11" s="5">
        <f>D11*$AA$8</f>
        <v>388910.06472942029</v>
      </c>
      <c r="AC11" s="5">
        <f>AA11+AB11</f>
        <v>826841.37279101647</v>
      </c>
      <c r="AD11" s="5">
        <f>AA$8*$E11</f>
        <v>47806.845053191566</v>
      </c>
      <c r="AF11" s="5">
        <f>'20-Year Acad Revised'!H10+'20-Year Fac Renewal Acad'!H10</f>
        <v>783120.0183037502</v>
      </c>
      <c r="AG11" s="5">
        <f>'20-Year Acad Revised'!I10+'20-Year Fac Renewal Acad'!I10</f>
        <v>432813.06785666256</v>
      </c>
      <c r="AH11" s="5">
        <f>AF11+AG11</f>
        <v>1215933.0861604128</v>
      </c>
      <c r="AI11" s="5">
        <f>'20-Year Acad Revised'!K10+'20-Year Fac Renewal Acad'!K10</f>
        <v>73941.602330736758</v>
      </c>
      <c r="AK11" s="3">
        <f>+AZ11+BE11+BJ11+BO11+CD11+BT11+AP11+AU11</f>
        <v>411879.84875249997</v>
      </c>
      <c r="AL11" s="3">
        <f>+BA11+BF11+BK11+BP11+CE11+BU11+AQ11+AV11</f>
        <v>227636.858668275</v>
      </c>
      <c r="AM11" s="5">
        <f>AK11+AL11</f>
        <v>639516.70742077497</v>
      </c>
      <c r="AN11" s="3">
        <f>+BC11+BH11+BM11+BR11+CG11+BW11+AS11+AX11</f>
        <v>38889.385116814505</v>
      </c>
      <c r="AO11" s="5"/>
      <c r="AP11" s="5">
        <f>F11*$AP$8</f>
        <v>235.21394125</v>
      </c>
      <c r="AQ11" s="5">
        <f>G11*$AP$8</f>
        <v>129.99752928749999</v>
      </c>
      <c r="AR11" s="5">
        <f>AP11+AQ11</f>
        <v>365.21147053749996</v>
      </c>
      <c r="AS11" s="5">
        <f>AP$8*$H11</f>
        <v>22.208723184250001</v>
      </c>
      <c r="AU11" s="5">
        <f>F11*$AU$8</f>
        <v>10988.351235</v>
      </c>
      <c r="AV11" s="5">
        <f>G11*$AU$8</f>
        <v>6073.0180528500005</v>
      </c>
      <c r="AW11" s="5">
        <f>AU11+AV11</f>
        <v>17061.369287850001</v>
      </c>
      <c r="AX11" s="5">
        <f>AU$8*$H11</f>
        <v>1037.511847863</v>
      </c>
      <c r="AZ11" s="5"/>
      <c r="BA11" s="5"/>
      <c r="BB11" s="5"/>
      <c r="BC11" s="5"/>
      <c r="BD11" s="5"/>
      <c r="BE11" s="5">
        <f>F11*$BE$8</f>
        <v>3610.8391862499998</v>
      </c>
      <c r="BF11" s="5">
        <f>G11*$BE$8</f>
        <v>1995.6307452374999</v>
      </c>
      <c r="BG11" s="5">
        <f>BE11+BF11</f>
        <v>5606.4699314874997</v>
      </c>
      <c r="BH11" s="5">
        <f>BE$8*$H11</f>
        <v>340.93271650524997</v>
      </c>
      <c r="BJ11" s="5">
        <f>F11*$BJ$8</f>
        <v>239071.22737749998</v>
      </c>
      <c r="BK11" s="5">
        <f>G11*$BJ$8</f>
        <v>132129.365792025</v>
      </c>
      <c r="BL11" s="5">
        <f>BJ11+BK11</f>
        <v>371200.59316952497</v>
      </c>
      <c r="BM11" s="5">
        <f>BJ$8*$H11</f>
        <v>22572.925235339499</v>
      </c>
      <c r="BO11" s="5">
        <f>F11*$BO$8</f>
        <v>67107.492512500001</v>
      </c>
      <c r="BP11" s="5">
        <f>G11*$BO$8</f>
        <v>37088.822953874995</v>
      </c>
      <c r="BQ11" s="5">
        <f>BO11+BP11</f>
        <v>104196.315466375</v>
      </c>
      <c r="BR11" s="5">
        <f>BO$8*$H11</f>
        <v>6336.2389018224994</v>
      </c>
      <c r="BV11" s="5">
        <f>BT11+BU11</f>
        <v>0</v>
      </c>
      <c r="BW11" s="5">
        <f>BT$8*$H11</f>
        <v>0</v>
      </c>
      <c r="BY11"/>
      <c r="BZ11"/>
      <c r="CA11"/>
      <c r="CB11" s="5"/>
      <c r="CC11" s="5"/>
      <c r="CD11" s="5">
        <f>F11*CD8</f>
        <v>90866.724499999997</v>
      </c>
      <c r="CE11" s="5">
        <f>G11*CD8</f>
        <v>50220.023594999999</v>
      </c>
      <c r="CF11" s="5">
        <f>CD11+CE11</f>
        <v>141086.74809499999</v>
      </c>
      <c r="CG11" s="5">
        <f>CD$8*$H11</f>
        <v>8579.5676920999995</v>
      </c>
      <c r="CL11" s="5">
        <f>CI$8*$H11</f>
        <v>0</v>
      </c>
    </row>
    <row r="12" spans="1:90" ht="12" customHeight="1" x14ac:dyDescent="0.25">
      <c r="A12" s="29">
        <v>45566</v>
      </c>
      <c r="D12" s="3">
        <v>768125</v>
      </c>
      <c r="E12" s="3">
        <v>97157</v>
      </c>
      <c r="G12" s="3">
        <v>630575</v>
      </c>
      <c r="H12" s="3">
        <v>112831</v>
      </c>
      <c r="J12" s="3">
        <v>439125</v>
      </c>
      <c r="K12" s="3">
        <v>129308</v>
      </c>
      <c r="M12" s="3">
        <f t="shared" si="0"/>
        <v>1837825</v>
      </c>
      <c r="N12" s="3">
        <f t="shared" si="1"/>
        <v>1837825</v>
      </c>
      <c r="O12" s="3">
        <f t="shared" si="2"/>
        <v>339296</v>
      </c>
      <c r="Q12" s="3"/>
      <c r="R12" s="3">
        <f>'10-Year Fac Renewal Revised'!I11</f>
        <v>439124.99999999994</v>
      </c>
      <c r="S12" s="5">
        <f t="shared" ref="S12:S27" si="3">Q12+R12</f>
        <v>439124.99999999994</v>
      </c>
      <c r="T12" s="3">
        <f>'10-Year Fac Renewal Revised'!K11</f>
        <v>129307.99999999999</v>
      </c>
      <c r="V12" s="5"/>
      <c r="W12" s="5">
        <f t="shared" ref="W12:W42" si="4">D12*$V$8</f>
        <v>390163.21797211992</v>
      </c>
      <c r="X12" s="5">
        <f t="shared" ref="X12:X67" si="5">V12+W12</f>
        <v>390163.21797211992</v>
      </c>
      <c r="Y12" s="5">
        <f t="shared" ref="Y12:Y67" si="6">V$8*$E12</f>
        <v>49350.154946808463</v>
      </c>
      <c r="AB12" s="5">
        <f t="shared" ref="AB12:AB42" si="7">D12*$AA$8</f>
        <v>377961.78202788037</v>
      </c>
      <c r="AC12" s="5">
        <f t="shared" ref="AC12:AC67" si="8">AA12+AB12</f>
        <v>377961.78202788037</v>
      </c>
      <c r="AD12" s="5">
        <f t="shared" ref="AD12:AD67" si="9">AA$8*$E12</f>
        <v>47806.845053191566</v>
      </c>
      <c r="AG12" s="5">
        <f>'20-Year Acad Revised'!I11+'20-Year Fac Renewal Acad'!I11</f>
        <v>449281.33077679673</v>
      </c>
      <c r="AH12" s="5">
        <f>AF12+AG12</f>
        <v>449281.33077679673</v>
      </c>
      <c r="AI12" s="5">
        <f>'20-Year Acad Revised'!K11+'20-Year Fac Renewal Acad'!K11</f>
        <v>80391.48686972486</v>
      </c>
      <c r="AK12" s="3"/>
      <c r="AL12" s="3">
        <f t="shared" ref="AL12:AN47" si="10">+BA12+CE12+BF12+BK12+BP12+BU12+AQ12+AV12</f>
        <v>181293.66922320332</v>
      </c>
      <c r="AM12" s="5">
        <f t="shared" ref="AM12:AM47" si="11">AK12+AL12</f>
        <v>181293.66922320332</v>
      </c>
      <c r="AN12" s="3">
        <f t="shared" si="10"/>
        <v>32439.513130275147</v>
      </c>
      <c r="AO12" s="5"/>
      <c r="AP12" s="5"/>
      <c r="AQ12" s="5">
        <f t="shared" ref="AQ12:AQ47" si="12">G12*$AQ$8</f>
        <v>123.95225973365307</v>
      </c>
      <c r="AR12" s="5">
        <f>AP12+AQ12</f>
        <v>123.95225973365307</v>
      </c>
      <c r="AS12" s="5">
        <f>AQ$8*$H12</f>
        <v>22.179213286298708</v>
      </c>
      <c r="AV12" s="5">
        <f t="shared" ref="AV12:AV47" si="13">G12*$AV$8</f>
        <v>5790.6047536428796</v>
      </c>
      <c r="AW12" s="5">
        <f>AU12+AV12</f>
        <v>5790.6047536428796</v>
      </c>
      <c r="AX12" s="5">
        <f>AV$8*$H12</f>
        <v>1036.1332513313719</v>
      </c>
      <c r="AZ12" s="5"/>
      <c r="BA12" s="5"/>
      <c r="BB12" s="5"/>
      <c r="BC12" s="5"/>
      <c r="BD12" s="5"/>
      <c r="BF12" s="5">
        <f t="shared" ref="BF12:BF47" si="14">G12*$BF$8</f>
        <v>1926.4431559701468</v>
      </c>
      <c r="BG12" s="5">
        <f>BE12+BF12</f>
        <v>1926.4431559701468</v>
      </c>
      <c r="BH12" s="5">
        <f>BF$8*$H12</f>
        <v>344.70524161482399</v>
      </c>
      <c r="BK12" s="5">
        <f t="shared" ref="BK12:BK47" si="15">G12*$BK$8</f>
        <v>134114.01012399906</v>
      </c>
      <c r="BL12" s="5">
        <f>BJ12+BK12</f>
        <v>134114.01012399906</v>
      </c>
      <c r="BM12" s="5">
        <f>BK$8*$H12</f>
        <v>23997.490982517447</v>
      </c>
      <c r="BP12" s="5">
        <f t="shared" ref="BP12:BP47" si="16">G12*$BP$8</f>
        <v>35522.456064739272</v>
      </c>
      <c r="BQ12" s="5">
        <f>BO12+BP12</f>
        <v>35522.456064739272</v>
      </c>
      <c r="BR12" s="5">
        <f>BP$8*$H12</f>
        <v>6356.1578563066987</v>
      </c>
      <c r="BU12" s="5">
        <f t="shared" ref="BU12:BU47" si="17">G12*$BU$8</f>
        <v>860.12802222131006</v>
      </c>
      <c r="BV12" s="5">
        <f>BT12+BU12</f>
        <v>860.12802222131006</v>
      </c>
      <c r="BW12" s="5">
        <f>BU$8*$H12</f>
        <v>153.90572870039668</v>
      </c>
      <c r="CB12" s="5"/>
      <c r="CC12" s="5"/>
      <c r="CE12" s="5">
        <f t="shared" ref="CE12:CE47" si="18">G12*$CE$8</f>
        <v>2956.074842896986</v>
      </c>
      <c r="CF12" s="5">
        <f t="shared" ref="CF12:CF47" si="19">CD12+CE12</f>
        <v>2956.074842896986</v>
      </c>
      <c r="CG12" s="5">
        <f>CE$8*$H12</f>
        <v>528.94085651811417</v>
      </c>
      <c r="CL12" s="5">
        <f>CJ$8*$H12</f>
        <v>0</v>
      </c>
    </row>
    <row r="13" spans="1:90" ht="12" customHeight="1" x14ac:dyDescent="0.25">
      <c r="A13" s="29">
        <v>45748</v>
      </c>
      <c r="C13" s="3">
        <v>935000</v>
      </c>
      <c r="D13" s="3">
        <v>768125</v>
      </c>
      <c r="E13" s="3">
        <v>97157</v>
      </c>
      <c r="F13" s="3">
        <v>1255000</v>
      </c>
      <c r="G13" s="3">
        <v>630575</v>
      </c>
      <c r="H13" s="3">
        <v>112831</v>
      </c>
      <c r="I13" s="3">
        <v>1840000</v>
      </c>
      <c r="J13" s="3">
        <v>439125</v>
      </c>
      <c r="K13" s="3">
        <v>129308</v>
      </c>
      <c r="L13" s="3">
        <f>C13+F13+I13</f>
        <v>4030000</v>
      </c>
      <c r="M13" s="3">
        <f t="shared" si="0"/>
        <v>1837825</v>
      </c>
      <c r="N13" s="3">
        <f t="shared" si="1"/>
        <v>5867825</v>
      </c>
      <c r="O13" s="3">
        <f t="shared" si="2"/>
        <v>339296</v>
      </c>
      <c r="Q13" s="3">
        <f>'10-Year Fac Renewal Revised'!H12</f>
        <v>1839999.9999999998</v>
      </c>
      <c r="R13" s="3">
        <f>'10-Year Fac Renewal Revised'!I12</f>
        <v>439124.99999999994</v>
      </c>
      <c r="S13" s="5">
        <f t="shared" si="3"/>
        <v>2279124.9999999995</v>
      </c>
      <c r="T13" s="3">
        <f>'10-Year Fac Renewal Revised'!K12</f>
        <v>129307.99999999999</v>
      </c>
      <c r="V13" s="5">
        <f>C13*$V$8</f>
        <v>474926.09771057067</v>
      </c>
      <c r="W13" s="5">
        <f t="shared" si="4"/>
        <v>390163.21797211992</v>
      </c>
      <c r="X13" s="5">
        <f t="shared" si="5"/>
        <v>865089.31568269059</v>
      </c>
      <c r="Y13" s="5">
        <f t="shared" si="6"/>
        <v>49350.154946808463</v>
      </c>
      <c r="AA13" s="5">
        <f>C13*$AA$8</f>
        <v>460073.90228942962</v>
      </c>
      <c r="AB13" s="5">
        <f t="shared" si="7"/>
        <v>377961.78202788037</v>
      </c>
      <c r="AC13" s="5">
        <f t="shared" si="8"/>
        <v>838035.68431730999</v>
      </c>
      <c r="AD13" s="5">
        <f t="shared" si="9"/>
        <v>47806.845053191566</v>
      </c>
      <c r="AF13" s="5">
        <f>'20-Year Acad Revised'!H12+'20-Year Fac Renewal Acad'!H12</f>
        <v>894180.81929172564</v>
      </c>
      <c r="AG13" s="5">
        <f>'20-Year Acad Revised'!I12+'20-Year Fac Renewal Acad'!I12</f>
        <v>449281.33077679673</v>
      </c>
      <c r="AH13" s="5">
        <f t="shared" ref="AH13:AH47" si="20">AF13+AG13</f>
        <v>1343462.1500685224</v>
      </c>
      <c r="AI13" s="5">
        <f>'20-Year Acad Revised'!K12+'20-Year Fac Renewal Acad'!K12</f>
        <v>80391.48686972486</v>
      </c>
      <c r="AK13" s="3">
        <f>+AZ13+CD13+BE13+BJ13+BO13+BT13+AP13+AU13</f>
        <v>360819.18070827442</v>
      </c>
      <c r="AL13" s="3">
        <f t="shared" si="10"/>
        <v>181293.66922320332</v>
      </c>
      <c r="AM13" s="5">
        <f>AK13+AL13</f>
        <v>542112.8499314778</v>
      </c>
      <c r="AN13" s="3">
        <f t="shared" si="10"/>
        <v>32439.513130275147</v>
      </c>
      <c r="AO13" s="5"/>
      <c r="AP13" s="5">
        <f>F13*$AQ$8</f>
        <v>246.69561268006913</v>
      </c>
      <c r="AQ13" s="5">
        <f t="shared" si="12"/>
        <v>123.95225973365307</v>
      </c>
      <c r="AR13" s="5">
        <f t="shared" ref="AR13:AR47" si="21">AP13+AQ13</f>
        <v>370.64787241372221</v>
      </c>
      <c r="AS13" s="5">
        <f t="shared" ref="AS13:AS67" si="22">AQ$8*$H13</f>
        <v>22.179213286298708</v>
      </c>
      <c r="AU13" s="5">
        <f>F13*$AV$8</f>
        <v>11524.733720527795</v>
      </c>
      <c r="AV13" s="5">
        <f t="shared" si="13"/>
        <v>5790.6047536428796</v>
      </c>
      <c r="AW13" s="5">
        <f t="shared" ref="AW13:AW47" si="23">AU13+AV13</f>
        <v>17315.338474170676</v>
      </c>
      <c r="AX13" s="5">
        <f t="shared" ref="AX13:AX67" si="24">AV$8*$H13</f>
        <v>1036.1332513313719</v>
      </c>
      <c r="AZ13" s="5"/>
      <c r="BA13" s="5"/>
      <c r="BB13" s="5"/>
      <c r="BC13" s="5"/>
      <c r="BD13" s="5"/>
      <c r="BE13" s="5">
        <f>F13*$BF$8</f>
        <v>3834.0977056536244</v>
      </c>
      <c r="BF13" s="5">
        <f t="shared" si="14"/>
        <v>1926.4431559701468</v>
      </c>
      <c r="BG13" s="5">
        <f t="shared" ref="BG13:BG47" si="25">BE13+BF13</f>
        <v>5760.540861623771</v>
      </c>
      <c r="BH13" s="5">
        <f t="shared" ref="BH13:BH67" si="26">BF$8*$H13</f>
        <v>344.70524161482399</v>
      </c>
      <c r="BJ13" s="5">
        <f>F13*$BK$8</f>
        <v>266920.00587657111</v>
      </c>
      <c r="BK13" s="5">
        <f t="shared" si="15"/>
        <v>134114.01012399906</v>
      </c>
      <c r="BL13" s="5">
        <f t="shared" ref="BL13:BL47" si="27">BJ13+BK13</f>
        <v>401034.01600057015</v>
      </c>
      <c r="BM13" s="5">
        <f t="shared" ref="BM13:BM67" si="28">BK$8*$H13</f>
        <v>23997.490982517447</v>
      </c>
      <c r="BO13" s="5">
        <f>F13*$BP$8</f>
        <v>70698.46150140393</v>
      </c>
      <c r="BP13" s="5">
        <f t="shared" si="16"/>
        <v>35522.456064739272</v>
      </c>
      <c r="BQ13" s="5">
        <f t="shared" ref="BQ13:BQ47" si="29">BO13+BP13</f>
        <v>106220.91756614321</v>
      </c>
      <c r="BR13" s="5">
        <f t="shared" ref="BR13:BR67" si="30">BP$8*$H13</f>
        <v>6356.1578563066987</v>
      </c>
      <c r="BT13" s="5">
        <f>F13*$BU$8</f>
        <v>1711.8672130797197</v>
      </c>
      <c r="BU13" s="5">
        <f t="shared" si="17"/>
        <v>860.12802222131006</v>
      </c>
      <c r="BV13" s="5">
        <f t="shared" ref="BV13:BV47" si="31">BT13+BU13</f>
        <v>2571.9952353010299</v>
      </c>
      <c r="BW13" s="5">
        <f t="shared" ref="BW13:BW67" si="32">BU$8*$H13</f>
        <v>153.90572870039668</v>
      </c>
      <c r="CB13" s="5"/>
      <c r="CC13" s="5"/>
      <c r="CD13" s="5">
        <f>F13*$CE$8</f>
        <v>5883.3190783581931</v>
      </c>
      <c r="CE13" s="5">
        <f t="shared" si="18"/>
        <v>2956.074842896986</v>
      </c>
      <c r="CF13" s="5">
        <f t="shared" si="19"/>
        <v>8839.3939212551795</v>
      </c>
      <c r="CG13" s="5">
        <f t="shared" ref="CG13:CG67" si="33">CE$8*$H13</f>
        <v>528.94085651811417</v>
      </c>
      <c r="CL13" s="5">
        <f t="shared" ref="CL13:CL67" si="34">CJ$8*$H13</f>
        <v>0</v>
      </c>
    </row>
    <row r="14" spans="1:90" ht="12" customHeight="1" x14ac:dyDescent="0.25">
      <c r="A14" s="29">
        <v>45931</v>
      </c>
      <c r="D14" s="3">
        <v>744750</v>
      </c>
      <c r="E14" s="3">
        <v>97157</v>
      </c>
      <c r="G14" s="3">
        <v>599200</v>
      </c>
      <c r="H14" s="3">
        <v>112831</v>
      </c>
      <c r="J14" s="3">
        <v>393125</v>
      </c>
      <c r="K14" s="3">
        <v>129308</v>
      </c>
      <c r="M14" s="3">
        <f t="shared" si="0"/>
        <v>1737075</v>
      </c>
      <c r="N14" s="3">
        <f t="shared" si="1"/>
        <v>1737075</v>
      </c>
      <c r="O14" s="3">
        <f t="shared" si="2"/>
        <v>339296</v>
      </c>
      <c r="Q14" s="3"/>
      <c r="R14" s="3">
        <f>'10-Year Fac Renewal Revised'!I13</f>
        <v>393125.00000000006</v>
      </c>
      <c r="S14" s="5">
        <f t="shared" si="3"/>
        <v>393125.00000000006</v>
      </c>
      <c r="T14" s="3">
        <f>'10-Year Fac Renewal Revised'!K13</f>
        <v>129307.99999999999</v>
      </c>
      <c r="V14" s="5"/>
      <c r="W14" s="5">
        <f t="shared" si="4"/>
        <v>378290.0655293556</v>
      </c>
      <c r="X14" s="5">
        <f t="shared" si="5"/>
        <v>378290.0655293556</v>
      </c>
      <c r="Y14" s="5">
        <f t="shared" si="6"/>
        <v>49350.154946808463</v>
      </c>
      <c r="AB14" s="5">
        <f t="shared" si="7"/>
        <v>366459.93447064463</v>
      </c>
      <c r="AC14" s="5">
        <f t="shared" si="8"/>
        <v>366459.93447064463</v>
      </c>
      <c r="AD14" s="5">
        <f t="shared" si="9"/>
        <v>47806.845053191566</v>
      </c>
      <c r="AG14" s="5">
        <f>'20-Year Acad Revised'!I13+'20-Year Fac Renewal Acad'!I13</f>
        <v>426926.81029450358</v>
      </c>
      <c r="AH14" s="5">
        <f t="shared" si="20"/>
        <v>426926.81029450358</v>
      </c>
      <c r="AI14" s="5">
        <f>'20-Year Acad Revised'!K13+'20-Year Fac Renewal Acad'!K13</f>
        <v>80391.48686972486</v>
      </c>
      <c r="AK14" s="3"/>
      <c r="AL14" s="3">
        <f t="shared" si="10"/>
        <v>172273.18970549642</v>
      </c>
      <c r="AM14" s="5">
        <f>AK14+AL14</f>
        <v>172273.18970549642</v>
      </c>
      <c r="AN14" s="3">
        <f t="shared" si="10"/>
        <v>32439.513130275147</v>
      </c>
      <c r="AO14" s="5"/>
      <c r="AP14" s="5"/>
      <c r="AQ14" s="5">
        <f t="shared" si="12"/>
        <v>117.78486941665133</v>
      </c>
      <c r="AR14" s="5">
        <f t="shared" si="21"/>
        <v>117.78486941665133</v>
      </c>
      <c r="AS14" s="5">
        <f t="shared" si="22"/>
        <v>22.179213286298708</v>
      </c>
      <c r="AV14" s="5">
        <f t="shared" si="13"/>
        <v>5502.4864106296855</v>
      </c>
      <c r="AW14" s="5">
        <f t="shared" si="23"/>
        <v>5502.4864106296855</v>
      </c>
      <c r="AX14" s="5">
        <f t="shared" si="24"/>
        <v>1036.1332513313719</v>
      </c>
      <c r="AZ14" s="5"/>
      <c r="BA14" s="5"/>
      <c r="BB14" s="5"/>
      <c r="BC14" s="5"/>
      <c r="BD14" s="5"/>
      <c r="BF14" s="5">
        <f t="shared" si="14"/>
        <v>1830.5907133288063</v>
      </c>
      <c r="BG14" s="5">
        <f t="shared" si="25"/>
        <v>1830.5907133288063</v>
      </c>
      <c r="BH14" s="5">
        <f t="shared" si="26"/>
        <v>344.70524161482399</v>
      </c>
      <c r="BK14" s="5">
        <f t="shared" si="15"/>
        <v>127441.00997708479</v>
      </c>
      <c r="BL14" s="5">
        <f t="shared" si="27"/>
        <v>127441.00997708479</v>
      </c>
      <c r="BM14" s="5">
        <f t="shared" si="28"/>
        <v>23997.490982517447</v>
      </c>
      <c r="BP14" s="5">
        <f t="shared" si="16"/>
        <v>33754.994527204173</v>
      </c>
      <c r="BQ14" s="5">
        <f t="shared" si="29"/>
        <v>33754.994527204173</v>
      </c>
      <c r="BR14" s="5">
        <f t="shared" si="30"/>
        <v>6356.1578563066987</v>
      </c>
      <c r="BU14" s="5">
        <f t="shared" si="17"/>
        <v>817.33134189431712</v>
      </c>
      <c r="BV14" s="5">
        <f t="shared" si="31"/>
        <v>817.33134189431712</v>
      </c>
      <c r="BW14" s="5">
        <f t="shared" si="32"/>
        <v>153.90572870039668</v>
      </c>
      <c r="CB14" s="5"/>
      <c r="CC14" s="5"/>
      <c r="CE14" s="5">
        <f t="shared" si="18"/>
        <v>2808.991865938031</v>
      </c>
      <c r="CF14" s="5">
        <f t="shared" si="19"/>
        <v>2808.991865938031</v>
      </c>
      <c r="CG14" s="5">
        <f t="shared" si="33"/>
        <v>528.94085651811417</v>
      </c>
      <c r="CL14" s="5">
        <f t="shared" si="34"/>
        <v>0</v>
      </c>
    </row>
    <row r="15" spans="1:90" ht="12" customHeight="1" x14ac:dyDescent="0.25">
      <c r="A15" s="29">
        <v>46113</v>
      </c>
      <c r="C15" s="3">
        <v>980000</v>
      </c>
      <c r="D15" s="3">
        <v>744750</v>
      </c>
      <c r="E15" s="3">
        <v>97157</v>
      </c>
      <c r="F15" s="3">
        <v>1320000</v>
      </c>
      <c r="G15" s="3">
        <v>599200</v>
      </c>
      <c r="H15" s="3">
        <v>112831</v>
      </c>
      <c r="I15" s="3">
        <v>1930000</v>
      </c>
      <c r="J15" s="3">
        <v>393125</v>
      </c>
      <c r="K15" s="3">
        <v>129308</v>
      </c>
      <c r="L15" s="3">
        <f>C15+F15+I15</f>
        <v>4230000</v>
      </c>
      <c r="M15" s="3">
        <f t="shared" si="0"/>
        <v>1737075</v>
      </c>
      <c r="N15" s="3">
        <f t="shared" si="1"/>
        <v>5967075</v>
      </c>
      <c r="O15" s="3">
        <f t="shared" si="2"/>
        <v>339296</v>
      </c>
      <c r="Q15" s="3">
        <f>'10-Year Fac Renewal Revised'!H14</f>
        <v>1929999.9999999995</v>
      </c>
      <c r="R15" s="3">
        <f>'10-Year Fac Renewal Revised'!I14</f>
        <v>393125.00000000006</v>
      </c>
      <c r="S15" s="5">
        <f t="shared" si="3"/>
        <v>2323124.9999999995</v>
      </c>
      <c r="T15" s="3">
        <f>'10-Year Fac Renewal Revised'!K14</f>
        <v>129307.99999999999</v>
      </c>
      <c r="V15" s="5">
        <f>C15*$V$8</f>
        <v>497783.50348273717</v>
      </c>
      <c r="W15" s="5">
        <f t="shared" si="4"/>
        <v>378290.0655293556</v>
      </c>
      <c r="X15" s="5">
        <f t="shared" si="5"/>
        <v>876073.56901209278</v>
      </c>
      <c r="Y15" s="5">
        <f t="shared" si="6"/>
        <v>49350.154946808463</v>
      </c>
      <c r="AA15" s="5">
        <f>C15*$AA$8</f>
        <v>482216.49651726312</v>
      </c>
      <c r="AB15" s="5">
        <f t="shared" si="7"/>
        <v>366459.93447064463</v>
      </c>
      <c r="AC15" s="5">
        <f t="shared" si="8"/>
        <v>848676.43098790781</v>
      </c>
      <c r="AD15" s="5">
        <f t="shared" si="9"/>
        <v>47806.845053191566</v>
      </c>
      <c r="AF15" s="5">
        <f>'20-Year Acad Revised'!H14+'20-Year Fac Renewal Acad'!H14</f>
        <v>940492.97327894648</v>
      </c>
      <c r="AG15" s="5">
        <f>'20-Year Acad Revised'!I14+'20-Year Fac Renewal Acad'!I14</f>
        <v>426926.81029450358</v>
      </c>
      <c r="AH15" s="5">
        <f t="shared" si="20"/>
        <v>1367419.7835734501</v>
      </c>
      <c r="AI15" s="5">
        <f>'20-Year Acad Revised'!K14+'20-Year Fac Renewal Acad'!K14</f>
        <v>80391.48686972486</v>
      </c>
      <c r="AK15" s="3">
        <f>+AZ15+CD15+BE15+BJ15+BO15+BT15+AP15+AU15</f>
        <v>379507.02672105358</v>
      </c>
      <c r="AL15" s="3">
        <f t="shared" si="10"/>
        <v>172273.18970549642</v>
      </c>
      <c r="AM15" s="5">
        <f t="shared" si="11"/>
        <v>551780.21642654995</v>
      </c>
      <c r="AN15" s="3">
        <f t="shared" si="10"/>
        <v>32439.513130275147</v>
      </c>
      <c r="AO15" s="5"/>
      <c r="AP15" s="5">
        <f>F15*$AQ$8</f>
        <v>259.47267628501294</v>
      </c>
      <c r="AQ15" s="5">
        <f t="shared" si="12"/>
        <v>117.78486941665133</v>
      </c>
      <c r="AR15" s="5">
        <f t="shared" si="21"/>
        <v>377.2575457016643</v>
      </c>
      <c r="AS15" s="5">
        <f t="shared" si="22"/>
        <v>22.179213286298708</v>
      </c>
      <c r="AU15" s="5">
        <f>F15*$AV$8</f>
        <v>12121.632279758318</v>
      </c>
      <c r="AV15" s="5">
        <f t="shared" si="13"/>
        <v>5502.4864106296855</v>
      </c>
      <c r="AW15" s="5">
        <f t="shared" si="23"/>
        <v>17624.118690388004</v>
      </c>
      <c r="AX15" s="5">
        <f t="shared" si="24"/>
        <v>1036.1332513313719</v>
      </c>
      <c r="AZ15" s="5"/>
      <c r="BA15" s="5"/>
      <c r="BB15" s="5"/>
      <c r="BC15" s="5"/>
      <c r="BD15" s="5"/>
      <c r="BE15" s="5">
        <f>F15*$BF$8</f>
        <v>4032.6764712850872</v>
      </c>
      <c r="BF15" s="5">
        <f t="shared" si="14"/>
        <v>1830.5907133288063</v>
      </c>
      <c r="BG15" s="5">
        <f t="shared" si="25"/>
        <v>5863.2671846138937</v>
      </c>
      <c r="BH15" s="5">
        <f t="shared" si="26"/>
        <v>344.70524161482399</v>
      </c>
      <c r="BJ15" s="5">
        <f>F15*$BK$8</f>
        <v>280744.54801360465</v>
      </c>
      <c r="BK15" s="5">
        <f t="shared" si="15"/>
        <v>127441.00997708479</v>
      </c>
      <c r="BL15" s="5">
        <f t="shared" si="27"/>
        <v>408185.55799068941</v>
      </c>
      <c r="BM15" s="5">
        <f t="shared" si="28"/>
        <v>23997.490982517447</v>
      </c>
      <c r="BO15" s="5">
        <f>F15*$BP$8</f>
        <v>74360.134806257513</v>
      </c>
      <c r="BP15" s="5">
        <f t="shared" si="16"/>
        <v>33754.994527204173</v>
      </c>
      <c r="BQ15" s="5">
        <f t="shared" si="29"/>
        <v>108115.12933346169</v>
      </c>
      <c r="BR15" s="5">
        <f t="shared" si="30"/>
        <v>6356.1578563066987</v>
      </c>
      <c r="BT15" s="5">
        <f>F15*$BU$8</f>
        <v>1800.5296583786692</v>
      </c>
      <c r="BU15" s="5">
        <f t="shared" si="17"/>
        <v>817.33134189431712</v>
      </c>
      <c r="BV15" s="5">
        <f t="shared" si="31"/>
        <v>2617.8610002729865</v>
      </c>
      <c r="BW15" s="5">
        <f t="shared" si="32"/>
        <v>153.90572870039668</v>
      </c>
      <c r="CB15" s="5"/>
      <c r="CC15" s="5"/>
      <c r="CD15" s="5">
        <f>F15*$CE$8</f>
        <v>6188.0328154843146</v>
      </c>
      <c r="CE15" s="5">
        <f t="shared" si="18"/>
        <v>2808.991865938031</v>
      </c>
      <c r="CF15" s="5">
        <f t="shared" si="19"/>
        <v>8997.0246814223465</v>
      </c>
      <c r="CG15" s="5">
        <f t="shared" si="33"/>
        <v>528.94085651811417</v>
      </c>
      <c r="CL15" s="5">
        <f t="shared" si="34"/>
        <v>0</v>
      </c>
    </row>
    <row r="16" spans="1:90" ht="12" customHeight="1" x14ac:dyDescent="0.25">
      <c r="A16" s="29">
        <v>46296</v>
      </c>
      <c r="D16" s="3">
        <v>720250</v>
      </c>
      <c r="E16" s="3">
        <v>97157</v>
      </c>
      <c r="G16" s="3">
        <v>566200</v>
      </c>
      <c r="H16" s="3">
        <v>112831</v>
      </c>
      <c r="J16" s="3">
        <v>344875</v>
      </c>
      <c r="K16" s="3">
        <v>129308</v>
      </c>
      <c r="M16" s="3">
        <f t="shared" si="0"/>
        <v>1631325</v>
      </c>
      <c r="N16" s="3">
        <f t="shared" si="1"/>
        <v>1631325</v>
      </c>
      <c r="O16" s="3">
        <f t="shared" si="2"/>
        <v>339296</v>
      </c>
      <c r="Q16" s="3"/>
      <c r="R16" s="3">
        <f>'10-Year Fac Renewal Revised'!I15</f>
        <v>344874.99999999994</v>
      </c>
      <c r="S16" s="5">
        <f t="shared" si="3"/>
        <v>344874.99999999994</v>
      </c>
      <c r="T16" s="3">
        <f>'10-Year Fac Renewal Revised'!K15</f>
        <v>129307.99999999999</v>
      </c>
      <c r="V16" s="5"/>
      <c r="W16" s="5">
        <f t="shared" si="4"/>
        <v>365845.47794228722</v>
      </c>
      <c r="X16" s="5">
        <f t="shared" si="5"/>
        <v>365845.47794228722</v>
      </c>
      <c r="Y16" s="5">
        <f t="shared" si="6"/>
        <v>49350.154946808463</v>
      </c>
      <c r="AB16" s="5">
        <f t="shared" si="7"/>
        <v>354404.52205771307</v>
      </c>
      <c r="AC16" s="5">
        <f t="shared" si="8"/>
        <v>354404.52205771307</v>
      </c>
      <c r="AD16" s="5">
        <f t="shared" si="9"/>
        <v>47806.845053191566</v>
      </c>
      <c r="AG16" s="5">
        <f>'20-Year Acad Revised'!I15+'20-Year Fac Renewal Acad'!I15</f>
        <v>403414.48596253007</v>
      </c>
      <c r="AH16" s="5">
        <f t="shared" si="20"/>
        <v>403414.48596253007</v>
      </c>
      <c r="AI16" s="5">
        <f>'20-Year Acad Revised'!K15+'20-Year Fac Renewal Acad'!K15</f>
        <v>80391.48686972486</v>
      </c>
      <c r="AK16" s="3"/>
      <c r="AL16" s="3">
        <f t="shared" si="10"/>
        <v>162785.51403747007</v>
      </c>
      <c r="AM16" s="5">
        <f t="shared" si="11"/>
        <v>162785.51403747007</v>
      </c>
      <c r="AN16" s="3">
        <f t="shared" si="10"/>
        <v>32439.513130275147</v>
      </c>
      <c r="AO16" s="5"/>
      <c r="AP16" s="5"/>
      <c r="AQ16" s="5">
        <f t="shared" si="12"/>
        <v>111.29805250952602</v>
      </c>
      <c r="AR16" s="5">
        <f t="shared" si="21"/>
        <v>111.29805250952602</v>
      </c>
      <c r="AS16" s="5">
        <f t="shared" si="22"/>
        <v>22.179213286298708</v>
      </c>
      <c r="AV16" s="5">
        <f t="shared" si="13"/>
        <v>5199.4456036357269</v>
      </c>
      <c r="AW16" s="5">
        <f t="shared" si="23"/>
        <v>5199.4456036357269</v>
      </c>
      <c r="AX16" s="5">
        <f t="shared" si="24"/>
        <v>1036.1332513313719</v>
      </c>
      <c r="AZ16" s="5"/>
      <c r="BA16" s="5"/>
      <c r="BB16" s="5"/>
      <c r="BC16" s="5"/>
      <c r="BD16" s="5"/>
      <c r="BF16" s="5">
        <f t="shared" si="14"/>
        <v>1729.7738015466791</v>
      </c>
      <c r="BG16" s="5">
        <f t="shared" si="25"/>
        <v>1729.7738015466791</v>
      </c>
      <c r="BH16" s="5">
        <f t="shared" si="26"/>
        <v>344.70524161482399</v>
      </c>
      <c r="BK16" s="5">
        <f t="shared" si="15"/>
        <v>120422.39627674466</v>
      </c>
      <c r="BL16" s="5">
        <f t="shared" si="27"/>
        <v>120422.39627674466</v>
      </c>
      <c r="BM16" s="5">
        <f t="shared" si="28"/>
        <v>23997.490982517447</v>
      </c>
      <c r="BP16" s="5">
        <f t="shared" si="16"/>
        <v>31895.991157047734</v>
      </c>
      <c r="BQ16" s="5">
        <f t="shared" si="29"/>
        <v>31895.991157047734</v>
      </c>
      <c r="BR16" s="5">
        <f t="shared" si="30"/>
        <v>6356.1578563066987</v>
      </c>
      <c r="BU16" s="5">
        <f t="shared" si="17"/>
        <v>772.31810043485041</v>
      </c>
      <c r="BV16" s="5">
        <f t="shared" si="31"/>
        <v>772.31810043485041</v>
      </c>
      <c r="BW16" s="5">
        <f t="shared" si="32"/>
        <v>153.90572870039668</v>
      </c>
      <c r="CB16" s="5"/>
      <c r="CC16" s="5"/>
      <c r="CE16" s="5">
        <f t="shared" si="18"/>
        <v>2654.2910455509232</v>
      </c>
      <c r="CF16" s="5">
        <f t="shared" si="19"/>
        <v>2654.2910455509232</v>
      </c>
      <c r="CG16" s="5">
        <f t="shared" si="33"/>
        <v>528.94085651811417</v>
      </c>
      <c r="CL16" s="5">
        <f t="shared" si="34"/>
        <v>0</v>
      </c>
    </row>
    <row r="17" spans="1:90" ht="12" customHeight="1" x14ac:dyDescent="0.25">
      <c r="A17" s="29">
        <v>46478</v>
      </c>
      <c r="B17" s="30"/>
      <c r="C17" s="3">
        <v>1030000</v>
      </c>
      <c r="D17" s="3">
        <v>720250</v>
      </c>
      <c r="E17" s="3">
        <v>97157</v>
      </c>
      <c r="F17" s="3">
        <v>1385000</v>
      </c>
      <c r="G17" s="3">
        <v>566200</v>
      </c>
      <c r="H17" s="3">
        <v>112831</v>
      </c>
      <c r="I17" s="3">
        <v>2030000</v>
      </c>
      <c r="J17" s="3">
        <v>344875</v>
      </c>
      <c r="K17" s="3">
        <v>129308</v>
      </c>
      <c r="L17" s="3">
        <f>C17+F17+I17</f>
        <v>4445000</v>
      </c>
      <c r="M17" s="3">
        <f t="shared" si="0"/>
        <v>1631325</v>
      </c>
      <c r="N17" s="3">
        <f t="shared" si="1"/>
        <v>6076325</v>
      </c>
      <c r="O17" s="3">
        <f t="shared" si="2"/>
        <v>339296</v>
      </c>
      <c r="Q17" s="3">
        <f>'10-Year Fac Renewal Revised'!H16</f>
        <v>2029999.9999999995</v>
      </c>
      <c r="R17" s="3">
        <f>'10-Year Fac Renewal Revised'!I16</f>
        <v>344874.99999999994</v>
      </c>
      <c r="S17" s="5">
        <f t="shared" si="3"/>
        <v>2374874.9999999995</v>
      </c>
      <c r="T17" s="3">
        <f>'10-Year Fac Renewal Revised'!K16</f>
        <v>129307.99999999999</v>
      </c>
      <c r="V17" s="5">
        <f>C17*$V$8</f>
        <v>523180.62100736663</v>
      </c>
      <c r="W17" s="5">
        <f t="shared" si="4"/>
        <v>365845.47794228722</v>
      </c>
      <c r="X17" s="5">
        <f t="shared" si="5"/>
        <v>889026.09894965379</v>
      </c>
      <c r="Y17" s="5">
        <f t="shared" si="6"/>
        <v>49350.154946808463</v>
      </c>
      <c r="AA17" s="5">
        <f>C17*$AA$8</f>
        <v>506819.37899263372</v>
      </c>
      <c r="AB17" s="5">
        <f t="shared" si="7"/>
        <v>354404.52205771307</v>
      </c>
      <c r="AC17" s="5">
        <f t="shared" si="8"/>
        <v>861223.90105034679</v>
      </c>
      <c r="AD17" s="5">
        <f t="shared" si="9"/>
        <v>47806.845053191566</v>
      </c>
      <c r="AF17" s="5">
        <f>'20-Year Acad Revised'!H16+'20-Year Fac Renewal Acad'!H16</f>
        <v>986805.12726616743</v>
      </c>
      <c r="AG17" s="5">
        <f>'20-Year Acad Revised'!I16+'20-Year Fac Renewal Acad'!I16</f>
        <v>403414.48596253007</v>
      </c>
      <c r="AH17" s="5">
        <f t="shared" si="20"/>
        <v>1390219.6132286976</v>
      </c>
      <c r="AI17" s="5">
        <f>'20-Year Acad Revised'!K16+'20-Year Fac Renewal Acad'!K16</f>
        <v>80391.48686972486</v>
      </c>
      <c r="AK17" s="3">
        <f>+AZ17+CD17+BE17+BJ17+BO17+BT17+AP17+AU17</f>
        <v>398194.87273383274</v>
      </c>
      <c r="AL17" s="3">
        <f t="shared" si="10"/>
        <v>162785.51403747007</v>
      </c>
      <c r="AM17" s="5">
        <f t="shared" si="11"/>
        <v>560980.38677130279</v>
      </c>
      <c r="AN17" s="3">
        <f t="shared" si="10"/>
        <v>32439.513130275147</v>
      </c>
      <c r="AO17" s="5"/>
      <c r="AP17" s="5">
        <f>F17*$AQ$8</f>
        <v>272.2497398899568</v>
      </c>
      <c r="AQ17" s="5">
        <f t="shared" si="12"/>
        <v>111.29805250952602</v>
      </c>
      <c r="AR17" s="5">
        <f t="shared" si="21"/>
        <v>383.54779239948283</v>
      </c>
      <c r="AS17" s="5">
        <f t="shared" si="22"/>
        <v>22.179213286298708</v>
      </c>
      <c r="AU17" s="5">
        <f>F17*$AV$8</f>
        <v>12718.530838988841</v>
      </c>
      <c r="AV17" s="5">
        <f t="shared" si="13"/>
        <v>5199.4456036357269</v>
      </c>
      <c r="AW17" s="5">
        <f t="shared" si="23"/>
        <v>17917.976442624567</v>
      </c>
      <c r="AX17" s="5">
        <f t="shared" si="24"/>
        <v>1036.1332513313719</v>
      </c>
      <c r="AZ17" s="5"/>
      <c r="BA17" s="5"/>
      <c r="BB17" s="5"/>
      <c r="BC17" s="5"/>
      <c r="BD17" s="5"/>
      <c r="BE17" s="5">
        <f>F17*$BF$8</f>
        <v>4231.2552369165496</v>
      </c>
      <c r="BF17" s="5">
        <f t="shared" si="14"/>
        <v>1729.7738015466791</v>
      </c>
      <c r="BG17" s="5">
        <f t="shared" si="25"/>
        <v>5961.029038463229</v>
      </c>
      <c r="BH17" s="5">
        <f t="shared" si="26"/>
        <v>344.70524161482399</v>
      </c>
      <c r="BJ17" s="5">
        <f>F17*$BK$8</f>
        <v>294569.09015063825</v>
      </c>
      <c r="BK17" s="5">
        <f t="shared" si="15"/>
        <v>120422.39627674466</v>
      </c>
      <c r="BL17" s="5">
        <f t="shared" si="27"/>
        <v>414991.48642738292</v>
      </c>
      <c r="BM17" s="5">
        <f t="shared" si="28"/>
        <v>23997.490982517447</v>
      </c>
      <c r="BO17" s="5">
        <f>F17*$BP$8</f>
        <v>78021.80811111111</v>
      </c>
      <c r="BP17" s="5">
        <f t="shared" si="16"/>
        <v>31895.991157047734</v>
      </c>
      <c r="BQ17" s="5">
        <f t="shared" si="29"/>
        <v>109917.79926815885</v>
      </c>
      <c r="BR17" s="5">
        <f t="shared" si="30"/>
        <v>6356.1578563066987</v>
      </c>
      <c r="BT17" s="5">
        <f>F17*$BU$8</f>
        <v>1889.1921036776189</v>
      </c>
      <c r="BU17" s="5">
        <f t="shared" si="17"/>
        <v>772.31810043485041</v>
      </c>
      <c r="BV17" s="5">
        <f t="shared" si="31"/>
        <v>2661.5102041124692</v>
      </c>
      <c r="BW17" s="5">
        <f t="shared" si="32"/>
        <v>153.90572870039668</v>
      </c>
      <c r="CB17" s="5"/>
      <c r="CC17" s="5"/>
      <c r="CD17" s="5">
        <f>F17*$CE$8</f>
        <v>6492.7465526104361</v>
      </c>
      <c r="CE17" s="5">
        <f t="shared" si="18"/>
        <v>2654.2910455509232</v>
      </c>
      <c r="CF17" s="5">
        <f t="shared" si="19"/>
        <v>9147.0375981613597</v>
      </c>
      <c r="CG17" s="5">
        <f t="shared" si="33"/>
        <v>528.94085651811417</v>
      </c>
      <c r="CL17" s="5">
        <f t="shared" si="34"/>
        <v>0</v>
      </c>
    </row>
    <row r="18" spans="1:90" ht="12" customHeight="1" x14ac:dyDescent="0.25">
      <c r="A18" s="29">
        <v>46661</v>
      </c>
      <c r="D18" s="3">
        <v>694500</v>
      </c>
      <c r="E18" s="3">
        <v>97157</v>
      </c>
      <c r="G18" s="3">
        <v>531575</v>
      </c>
      <c r="H18" s="3">
        <v>112831</v>
      </c>
      <c r="J18" s="3">
        <v>294125</v>
      </c>
      <c r="K18" s="3">
        <v>129308</v>
      </c>
      <c r="M18" s="3">
        <f t="shared" si="0"/>
        <v>1520200</v>
      </c>
      <c r="N18" s="3">
        <f t="shared" si="1"/>
        <v>1520200</v>
      </c>
      <c r="O18" s="3">
        <f t="shared" si="2"/>
        <v>339296</v>
      </c>
      <c r="Q18" s="3"/>
      <c r="R18" s="3">
        <f>'10-Year Fac Renewal Revised'!I17</f>
        <v>294125</v>
      </c>
      <c r="S18" s="5">
        <f t="shared" si="3"/>
        <v>294125</v>
      </c>
      <c r="T18" s="3">
        <f>'10-Year Fac Renewal Revised'!K17</f>
        <v>129307.99999999999</v>
      </c>
      <c r="V18" s="5"/>
      <c r="W18" s="5">
        <f t="shared" si="4"/>
        <v>352765.96241710306</v>
      </c>
      <c r="X18" s="5">
        <f t="shared" si="5"/>
        <v>352765.96241710306</v>
      </c>
      <c r="Y18" s="5">
        <f t="shared" si="6"/>
        <v>49350.154946808463</v>
      </c>
      <c r="AB18" s="5">
        <f t="shared" si="7"/>
        <v>341734.03758289717</v>
      </c>
      <c r="AC18" s="5">
        <f t="shared" si="8"/>
        <v>341734.03758289717</v>
      </c>
      <c r="AD18" s="5">
        <f t="shared" si="9"/>
        <v>47806.845053191566</v>
      </c>
      <c r="AG18" s="5">
        <f>'20-Year Acad Revised'!I17+'20-Year Fac Renewal Acad'!I17</f>
        <v>378744.35778087575</v>
      </c>
      <c r="AH18" s="5">
        <f t="shared" si="20"/>
        <v>378744.35778087575</v>
      </c>
      <c r="AI18" s="5">
        <f>'20-Year Acad Revised'!K17+'20-Year Fac Renewal Acad'!K17</f>
        <v>80391.48686972486</v>
      </c>
      <c r="AK18" s="3"/>
      <c r="AL18" s="3">
        <f t="shared" si="10"/>
        <v>152830.6422191243</v>
      </c>
      <c r="AM18" s="5">
        <f t="shared" si="11"/>
        <v>152830.6422191243</v>
      </c>
      <c r="AN18" s="3">
        <f t="shared" si="10"/>
        <v>32439.513130275147</v>
      </c>
      <c r="AO18" s="5"/>
      <c r="AP18" s="5"/>
      <c r="AQ18" s="5">
        <f t="shared" si="12"/>
        <v>104.49180901227709</v>
      </c>
      <c r="AR18" s="5">
        <f t="shared" si="21"/>
        <v>104.49180901227709</v>
      </c>
      <c r="AS18" s="5">
        <f t="shared" si="22"/>
        <v>22.179213286298708</v>
      </c>
      <c r="AV18" s="5">
        <f t="shared" si="13"/>
        <v>4881.4823326610058</v>
      </c>
      <c r="AW18" s="5">
        <f t="shared" si="23"/>
        <v>4881.4823326610058</v>
      </c>
      <c r="AX18" s="5">
        <f t="shared" si="24"/>
        <v>1036.1332513313719</v>
      </c>
      <c r="AZ18" s="5"/>
      <c r="BA18" s="5"/>
      <c r="BB18" s="5"/>
      <c r="BC18" s="5"/>
      <c r="BD18" s="5"/>
      <c r="BF18" s="5">
        <f t="shared" si="14"/>
        <v>1623.9924206237654</v>
      </c>
      <c r="BG18" s="5">
        <f t="shared" si="25"/>
        <v>1623.9924206237654</v>
      </c>
      <c r="BH18" s="5">
        <f t="shared" si="26"/>
        <v>344.70524161482399</v>
      </c>
      <c r="BK18" s="5">
        <f t="shared" si="15"/>
        <v>113058.16902297872</v>
      </c>
      <c r="BL18" s="5">
        <f t="shared" si="27"/>
        <v>113058.16902297872</v>
      </c>
      <c r="BM18" s="5">
        <f t="shared" si="28"/>
        <v>23997.490982517447</v>
      </c>
      <c r="BP18" s="5">
        <f t="shared" si="16"/>
        <v>29945.445954269955</v>
      </c>
      <c r="BQ18" s="5">
        <f t="shared" si="29"/>
        <v>29945.445954269955</v>
      </c>
      <c r="BR18" s="5">
        <f t="shared" si="30"/>
        <v>6356.1578563066987</v>
      </c>
      <c r="BU18" s="5">
        <f t="shared" si="17"/>
        <v>725.08829784290992</v>
      </c>
      <c r="BV18" s="5">
        <f t="shared" si="31"/>
        <v>725.08829784290992</v>
      </c>
      <c r="BW18" s="5">
        <f t="shared" si="32"/>
        <v>153.90572870039668</v>
      </c>
      <c r="CB18" s="5"/>
      <c r="CC18" s="5"/>
      <c r="CE18" s="5">
        <f t="shared" si="18"/>
        <v>2491.9723817356626</v>
      </c>
      <c r="CF18" s="5">
        <f t="shared" si="19"/>
        <v>2491.9723817356626</v>
      </c>
      <c r="CG18" s="5">
        <f t="shared" si="33"/>
        <v>528.94085651811417</v>
      </c>
      <c r="CL18" s="5">
        <f t="shared" si="34"/>
        <v>0</v>
      </c>
    </row>
    <row r="19" spans="1:90" ht="12" customHeight="1" x14ac:dyDescent="0.25">
      <c r="A19" s="29">
        <v>46844</v>
      </c>
      <c r="C19" s="3">
        <v>1080000</v>
      </c>
      <c r="D19" s="3">
        <v>694500</v>
      </c>
      <c r="E19" s="3">
        <v>97157</v>
      </c>
      <c r="F19" s="3">
        <v>1455000</v>
      </c>
      <c r="G19" s="3">
        <v>531575</v>
      </c>
      <c r="H19" s="3">
        <v>112831</v>
      </c>
      <c r="I19" s="3">
        <v>2130000</v>
      </c>
      <c r="J19" s="3">
        <v>294125</v>
      </c>
      <c r="K19" s="3">
        <v>129308</v>
      </c>
      <c r="L19" s="3">
        <f>C19+F19+I19</f>
        <v>4665000</v>
      </c>
      <c r="M19" s="3">
        <f t="shared" si="0"/>
        <v>1520200</v>
      </c>
      <c r="N19" s="3">
        <f t="shared" si="1"/>
        <v>6185200</v>
      </c>
      <c r="O19" s="3">
        <f t="shared" si="2"/>
        <v>339296</v>
      </c>
      <c r="Q19" s="3">
        <f>'10-Year Fac Renewal Revised'!H18</f>
        <v>2129999.9999999995</v>
      </c>
      <c r="R19" s="3">
        <f>'10-Year Fac Renewal Revised'!I18</f>
        <v>294125</v>
      </c>
      <c r="S19" s="5">
        <f t="shared" si="3"/>
        <v>2424124.9999999995</v>
      </c>
      <c r="T19" s="3">
        <f>'10-Year Fac Renewal Revised'!K18</f>
        <v>129307.99999999999</v>
      </c>
      <c r="V19" s="5">
        <f>C19*$V$8</f>
        <v>548577.73853199603</v>
      </c>
      <c r="W19" s="5">
        <f t="shared" si="4"/>
        <v>352765.96241710306</v>
      </c>
      <c r="X19" s="5">
        <f t="shared" si="5"/>
        <v>901343.70094909915</v>
      </c>
      <c r="Y19" s="5">
        <f t="shared" si="6"/>
        <v>49350.154946808463</v>
      </c>
      <c r="AA19" s="5">
        <f>C19*$AA$8</f>
        <v>531422.26146800432</v>
      </c>
      <c r="AB19" s="5">
        <f t="shared" si="7"/>
        <v>341734.03758289717</v>
      </c>
      <c r="AC19" s="5">
        <f t="shared" si="8"/>
        <v>873156.29905090155</v>
      </c>
      <c r="AD19" s="5">
        <f t="shared" si="9"/>
        <v>47806.845053191566</v>
      </c>
      <c r="AF19" s="5">
        <f>'20-Year Acad Revised'!H18+'20-Year Fac Renewal Acad'!H18</f>
        <v>1036679.7546370206</v>
      </c>
      <c r="AG19" s="5">
        <f>'20-Year Acad Revised'!I18+'20-Year Fac Renewal Acad'!I18</f>
        <v>378744.35778087575</v>
      </c>
      <c r="AH19" s="5">
        <f t="shared" si="20"/>
        <v>1415424.1124178963</v>
      </c>
      <c r="AI19" s="5">
        <f>'20-Year Acad Revised'!K18+'20-Year Fac Renewal Acad'!K18</f>
        <v>80391.48686972486</v>
      </c>
      <c r="AK19" s="3">
        <f>+AZ19+CD19+BE19+BJ19+BO19+BT19+AP19+AU19</f>
        <v>418320.24536297959</v>
      </c>
      <c r="AL19" s="3">
        <f t="shared" si="10"/>
        <v>152830.6422191243</v>
      </c>
      <c r="AM19" s="5">
        <f t="shared" si="11"/>
        <v>571150.88758210395</v>
      </c>
      <c r="AN19" s="3">
        <f t="shared" si="10"/>
        <v>32439.513130275147</v>
      </c>
      <c r="AO19" s="5"/>
      <c r="AP19" s="5">
        <f>F19*$AQ$8</f>
        <v>286.00965454143471</v>
      </c>
      <c r="AQ19" s="5">
        <f t="shared" si="12"/>
        <v>104.49180901227709</v>
      </c>
      <c r="AR19" s="5">
        <f t="shared" si="21"/>
        <v>390.5014635537118</v>
      </c>
      <c r="AS19" s="5">
        <f t="shared" si="22"/>
        <v>22.179213286298708</v>
      </c>
      <c r="AU19" s="5">
        <f>F19*$AV$8</f>
        <v>13361.344672006328</v>
      </c>
      <c r="AV19" s="5">
        <f t="shared" si="13"/>
        <v>4881.4823326610058</v>
      </c>
      <c r="AW19" s="5">
        <f t="shared" si="23"/>
        <v>18242.827004667335</v>
      </c>
      <c r="AX19" s="5">
        <f t="shared" si="24"/>
        <v>1036.1332513313719</v>
      </c>
      <c r="AZ19" s="5"/>
      <c r="BA19" s="5"/>
      <c r="BB19" s="5"/>
      <c r="BC19" s="5"/>
      <c r="BD19" s="5"/>
      <c r="BE19" s="5">
        <f>F19*$BF$8</f>
        <v>4445.1092922119706</v>
      </c>
      <c r="BF19" s="5">
        <f t="shared" si="14"/>
        <v>1623.9924206237654</v>
      </c>
      <c r="BG19" s="5">
        <f t="shared" si="25"/>
        <v>6069.1017128357362</v>
      </c>
      <c r="BH19" s="5">
        <f t="shared" si="26"/>
        <v>344.70524161482399</v>
      </c>
      <c r="BJ19" s="5">
        <f>F19*$BK$8</f>
        <v>309457.05860590516</v>
      </c>
      <c r="BK19" s="5">
        <f t="shared" si="15"/>
        <v>113058.16902297872</v>
      </c>
      <c r="BL19" s="5">
        <f t="shared" si="27"/>
        <v>422515.22762888391</v>
      </c>
      <c r="BM19" s="5">
        <f t="shared" si="28"/>
        <v>23997.490982517447</v>
      </c>
      <c r="BO19" s="5">
        <f>F19*$BP$8</f>
        <v>81965.148593261125</v>
      </c>
      <c r="BP19" s="5">
        <f t="shared" si="16"/>
        <v>29945.445954269955</v>
      </c>
      <c r="BQ19" s="5">
        <f t="shared" si="29"/>
        <v>111910.59454753107</v>
      </c>
      <c r="BR19" s="5">
        <f t="shared" si="30"/>
        <v>6356.1578563066987</v>
      </c>
      <c r="BT19" s="5">
        <f>F19*$BU$8</f>
        <v>1984.6747370764876</v>
      </c>
      <c r="BU19" s="5">
        <f t="shared" si="17"/>
        <v>725.08829784290992</v>
      </c>
      <c r="BV19" s="5">
        <f t="shared" si="31"/>
        <v>2709.7630349193978</v>
      </c>
      <c r="BW19" s="5">
        <f t="shared" si="32"/>
        <v>153.90572870039668</v>
      </c>
      <c r="CB19" s="5"/>
      <c r="CC19" s="5"/>
      <c r="CD19" s="5">
        <f>F19*$CE$8</f>
        <v>6820.8998079770281</v>
      </c>
      <c r="CE19" s="5">
        <f t="shared" si="18"/>
        <v>2491.9723817356626</v>
      </c>
      <c r="CF19" s="5">
        <f t="shared" si="19"/>
        <v>9312.8721897126907</v>
      </c>
      <c r="CG19" s="5">
        <f t="shared" si="33"/>
        <v>528.94085651811417</v>
      </c>
      <c r="CL19" s="5">
        <f t="shared" si="34"/>
        <v>0</v>
      </c>
    </row>
    <row r="20" spans="1:90" ht="12" customHeight="1" x14ac:dyDescent="0.25">
      <c r="A20" s="29">
        <v>47027</v>
      </c>
      <c r="D20" s="3">
        <v>667500</v>
      </c>
      <c r="E20" s="3">
        <v>97157</v>
      </c>
      <c r="G20" s="3">
        <v>495200</v>
      </c>
      <c r="H20" s="3">
        <v>112831</v>
      </c>
      <c r="J20" s="3">
        <v>240875</v>
      </c>
      <c r="K20" s="3">
        <v>129308</v>
      </c>
      <c r="M20" s="3">
        <f t="shared" si="0"/>
        <v>1403575</v>
      </c>
      <c r="N20" s="3">
        <f t="shared" si="1"/>
        <v>1403575</v>
      </c>
      <c r="O20" s="3">
        <f t="shared" si="2"/>
        <v>339296</v>
      </c>
      <c r="Q20" s="3"/>
      <c r="R20" s="3">
        <f>'10-Year Fac Renewal Revised'!I19</f>
        <v>240874.99999999994</v>
      </c>
      <c r="S20" s="5">
        <f t="shared" si="3"/>
        <v>240874.99999999994</v>
      </c>
      <c r="T20" s="3">
        <f>'10-Year Fac Renewal Revised'!K19</f>
        <v>129307.99999999999</v>
      </c>
      <c r="V20" s="5"/>
      <c r="W20" s="5">
        <f t="shared" si="4"/>
        <v>339051.51895380311</v>
      </c>
      <c r="X20" s="5">
        <f t="shared" si="5"/>
        <v>339051.51895380311</v>
      </c>
      <c r="Y20" s="5">
        <f t="shared" si="6"/>
        <v>49350.154946808463</v>
      </c>
      <c r="AB20" s="5">
        <f t="shared" si="7"/>
        <v>328448.48104619712</v>
      </c>
      <c r="AC20" s="5">
        <f t="shared" si="8"/>
        <v>328448.48104619712</v>
      </c>
      <c r="AD20" s="5">
        <f t="shared" si="9"/>
        <v>47806.845053191566</v>
      </c>
      <c r="AG20" s="5">
        <f>'20-Year Acad Revised'!I19+'20-Year Fac Renewal Acad'!I19</f>
        <v>352827.36391495023</v>
      </c>
      <c r="AH20" s="5">
        <f t="shared" si="20"/>
        <v>352827.36391495023</v>
      </c>
      <c r="AI20" s="5">
        <f>'20-Year Acad Revised'!K19+'20-Year Fac Renewal Acad'!K19</f>
        <v>80391.48686972486</v>
      </c>
      <c r="AK20" s="3"/>
      <c r="AL20" s="3">
        <f t="shared" si="10"/>
        <v>142372.6360850498</v>
      </c>
      <c r="AM20" s="5">
        <f t="shared" si="11"/>
        <v>142372.6360850498</v>
      </c>
      <c r="AN20" s="3">
        <f t="shared" si="10"/>
        <v>32439.513130275147</v>
      </c>
      <c r="AO20" s="5"/>
      <c r="AP20" s="5"/>
      <c r="AQ20" s="5">
        <f t="shared" si="12"/>
        <v>97.341567648741218</v>
      </c>
      <c r="AR20" s="5">
        <f t="shared" si="21"/>
        <v>97.341567648741218</v>
      </c>
      <c r="AS20" s="5">
        <f t="shared" si="22"/>
        <v>22.179213286298708</v>
      </c>
      <c r="AV20" s="5">
        <f t="shared" si="13"/>
        <v>4547.4487158608481</v>
      </c>
      <c r="AW20" s="5">
        <f t="shared" si="23"/>
        <v>4547.4487158608481</v>
      </c>
      <c r="AX20" s="5">
        <f t="shared" si="24"/>
        <v>1036.1332513313719</v>
      </c>
      <c r="AZ20" s="5"/>
      <c r="BA20" s="5"/>
      <c r="BB20" s="5"/>
      <c r="BC20" s="5"/>
      <c r="BD20" s="5"/>
      <c r="BF20" s="5">
        <f t="shared" si="14"/>
        <v>1512.8646883184661</v>
      </c>
      <c r="BG20" s="5">
        <f t="shared" si="25"/>
        <v>1512.8646883184661</v>
      </c>
      <c r="BH20" s="5">
        <f t="shared" si="26"/>
        <v>344.70524161482399</v>
      </c>
      <c r="BK20" s="5">
        <f t="shared" si="15"/>
        <v>105321.74255783108</v>
      </c>
      <c r="BL20" s="5">
        <f t="shared" si="27"/>
        <v>105321.74255783108</v>
      </c>
      <c r="BM20" s="5">
        <f t="shared" si="28"/>
        <v>23997.490982517447</v>
      </c>
      <c r="BP20" s="5">
        <f t="shared" si="16"/>
        <v>27896.317239438427</v>
      </c>
      <c r="BQ20" s="5">
        <f t="shared" si="29"/>
        <v>27896.317239438427</v>
      </c>
      <c r="BR20" s="5">
        <f t="shared" si="30"/>
        <v>6356.1578563066987</v>
      </c>
      <c r="BU20" s="5">
        <f t="shared" si="17"/>
        <v>675.4714294159977</v>
      </c>
      <c r="BV20" s="5">
        <f t="shared" si="31"/>
        <v>675.4714294159977</v>
      </c>
      <c r="BW20" s="5">
        <f t="shared" si="32"/>
        <v>153.90572870039668</v>
      </c>
      <c r="CB20" s="5"/>
      <c r="CC20" s="5"/>
      <c r="CE20" s="5">
        <f t="shared" si="18"/>
        <v>2321.4498865362366</v>
      </c>
      <c r="CF20" s="5">
        <f t="shared" si="19"/>
        <v>2321.4498865362366</v>
      </c>
      <c r="CG20" s="5">
        <f t="shared" si="33"/>
        <v>528.94085651811417</v>
      </c>
      <c r="CL20" s="5">
        <f t="shared" si="34"/>
        <v>0</v>
      </c>
    </row>
    <row r="21" spans="1:90" ht="12" customHeight="1" x14ac:dyDescent="0.25">
      <c r="A21" s="29">
        <v>47209</v>
      </c>
      <c r="C21" s="3">
        <v>1135000</v>
      </c>
      <c r="D21" s="3">
        <v>667500</v>
      </c>
      <c r="E21" s="3">
        <v>97157</v>
      </c>
      <c r="F21" s="3">
        <v>1525000</v>
      </c>
      <c r="G21" s="3">
        <v>495200</v>
      </c>
      <c r="H21" s="3">
        <v>112831</v>
      </c>
      <c r="I21" s="3">
        <v>2235000</v>
      </c>
      <c r="J21" s="3">
        <v>240875</v>
      </c>
      <c r="K21" s="3">
        <v>129308</v>
      </c>
      <c r="L21" s="3">
        <f>C21+F21+I21</f>
        <v>4895000</v>
      </c>
      <c r="M21" s="3">
        <f t="shared" si="0"/>
        <v>1403575</v>
      </c>
      <c r="N21" s="3">
        <f t="shared" si="1"/>
        <v>6298575</v>
      </c>
      <c r="O21" s="3">
        <f t="shared" si="2"/>
        <v>339296</v>
      </c>
      <c r="Q21" s="3">
        <f>'10-Year Fac Renewal Revised'!H20</f>
        <v>2235000</v>
      </c>
      <c r="R21" s="3">
        <f>'10-Year Fac Renewal Revised'!I20</f>
        <v>240874.99999999994</v>
      </c>
      <c r="S21" s="5">
        <f t="shared" si="3"/>
        <v>2475875</v>
      </c>
      <c r="T21" s="3">
        <f>'10-Year Fac Renewal Revised'!K20</f>
        <v>129307.99999999999</v>
      </c>
      <c r="V21" s="5">
        <f>C21*$V$8</f>
        <v>576514.5678090885</v>
      </c>
      <c r="W21" s="5">
        <f t="shared" si="4"/>
        <v>339051.51895380311</v>
      </c>
      <c r="X21" s="5">
        <f t="shared" si="5"/>
        <v>915566.08676289162</v>
      </c>
      <c r="Y21" s="5">
        <f t="shared" si="6"/>
        <v>49350.154946808463</v>
      </c>
      <c r="AA21" s="5">
        <f>C21*$AA$8</f>
        <v>558485.43219091196</v>
      </c>
      <c r="AB21" s="5">
        <f t="shared" si="7"/>
        <v>328448.48104619712</v>
      </c>
      <c r="AC21" s="5">
        <f t="shared" si="8"/>
        <v>886933.91323710908</v>
      </c>
      <c r="AD21" s="5">
        <f t="shared" si="9"/>
        <v>47806.845053191566</v>
      </c>
      <c r="AF21" s="5">
        <f>'20-Year Acad Revised'!H20+'20-Year Fac Renewal Acad'!H20</f>
        <v>1086554.3820078741</v>
      </c>
      <c r="AG21" s="5">
        <f>'20-Year Acad Revised'!I20+'20-Year Fac Renewal Acad'!I20</f>
        <v>352827.36391495023</v>
      </c>
      <c r="AH21" s="5">
        <f t="shared" si="20"/>
        <v>1439381.7459228244</v>
      </c>
      <c r="AI21" s="5">
        <f>'20-Year Acad Revised'!K20+'20-Year Fac Renewal Acad'!K20</f>
        <v>80391.48686972486</v>
      </c>
      <c r="AK21" s="3">
        <f>+AZ21+CD21+BE21+BJ21+BO21+BT21+AP21+AU21</f>
        <v>438445.61799212632</v>
      </c>
      <c r="AL21" s="3">
        <f t="shared" si="10"/>
        <v>142372.6360850498</v>
      </c>
      <c r="AM21" s="5">
        <f t="shared" si="11"/>
        <v>580818.2540771761</v>
      </c>
      <c r="AN21" s="3">
        <f t="shared" si="10"/>
        <v>32439.513130275147</v>
      </c>
      <c r="AO21" s="5"/>
      <c r="AP21" s="5">
        <f>F21*$AQ$8</f>
        <v>299.76956919291268</v>
      </c>
      <c r="AQ21" s="5">
        <f t="shared" si="12"/>
        <v>97.341567648741218</v>
      </c>
      <c r="AR21" s="5">
        <f t="shared" si="21"/>
        <v>397.11113684165389</v>
      </c>
      <c r="AS21" s="5">
        <f t="shared" si="22"/>
        <v>22.179213286298708</v>
      </c>
      <c r="AU21" s="5">
        <f>F21*$AV$8</f>
        <v>14004.158505023815</v>
      </c>
      <c r="AV21" s="5">
        <f t="shared" si="13"/>
        <v>4547.4487158608481</v>
      </c>
      <c r="AW21" s="5">
        <f t="shared" si="23"/>
        <v>18551.607220884664</v>
      </c>
      <c r="AX21" s="5">
        <f t="shared" si="24"/>
        <v>1036.1332513313719</v>
      </c>
      <c r="AZ21" s="5"/>
      <c r="BA21" s="5"/>
      <c r="BB21" s="5"/>
      <c r="BC21" s="5"/>
      <c r="BD21" s="5"/>
      <c r="BE21" s="5">
        <f>F21*$BF$8</f>
        <v>4658.9633475073924</v>
      </c>
      <c r="BF21" s="5">
        <f t="shared" si="14"/>
        <v>1512.8646883184661</v>
      </c>
      <c r="BG21" s="5">
        <f t="shared" si="25"/>
        <v>6171.828035825858</v>
      </c>
      <c r="BH21" s="5">
        <f t="shared" si="26"/>
        <v>344.70524161482399</v>
      </c>
      <c r="BJ21" s="5">
        <f>F21*$BK$8</f>
        <v>324345.02706117206</v>
      </c>
      <c r="BK21" s="5">
        <f t="shared" si="15"/>
        <v>105321.74255783108</v>
      </c>
      <c r="BL21" s="5">
        <f t="shared" si="27"/>
        <v>429666.76961900317</v>
      </c>
      <c r="BM21" s="5">
        <f t="shared" si="28"/>
        <v>23997.490982517447</v>
      </c>
      <c r="BO21" s="5">
        <f>F21*$BP$8</f>
        <v>85908.489075411155</v>
      </c>
      <c r="BP21" s="5">
        <f t="shared" si="16"/>
        <v>27896.317239438427</v>
      </c>
      <c r="BQ21" s="5">
        <f t="shared" si="29"/>
        <v>113804.80631484959</v>
      </c>
      <c r="BR21" s="5">
        <f t="shared" si="30"/>
        <v>6356.1578563066987</v>
      </c>
      <c r="BT21" s="5">
        <f>F21*$BU$8</f>
        <v>2080.1573704753564</v>
      </c>
      <c r="BU21" s="5">
        <f t="shared" si="17"/>
        <v>675.4714294159977</v>
      </c>
      <c r="BV21" s="5">
        <f t="shared" si="31"/>
        <v>2755.628799891354</v>
      </c>
      <c r="BW21" s="5">
        <f t="shared" si="32"/>
        <v>153.90572870039668</v>
      </c>
      <c r="CB21" s="5"/>
      <c r="CC21" s="5"/>
      <c r="CD21" s="5">
        <f>F21*$CE$8</f>
        <v>7149.053063343621</v>
      </c>
      <c r="CE21" s="5">
        <f t="shared" si="18"/>
        <v>2321.4498865362366</v>
      </c>
      <c r="CF21" s="5">
        <f t="shared" si="19"/>
        <v>9470.5029498798576</v>
      </c>
      <c r="CG21" s="5">
        <f t="shared" si="33"/>
        <v>528.94085651811417</v>
      </c>
      <c r="CL21" s="5">
        <f t="shared" si="34"/>
        <v>0</v>
      </c>
    </row>
    <row r="22" spans="1:90" ht="12" customHeight="1" x14ac:dyDescent="0.25">
      <c r="A22" s="29">
        <v>47392</v>
      </c>
      <c r="D22" s="3">
        <v>639125</v>
      </c>
      <c r="E22" s="3">
        <v>97157</v>
      </c>
      <c r="G22" s="3">
        <v>457075</v>
      </c>
      <c r="H22" s="3">
        <v>112831</v>
      </c>
      <c r="J22" s="3">
        <v>185000</v>
      </c>
      <c r="K22" s="3">
        <v>129308</v>
      </c>
      <c r="M22" s="3">
        <f t="shared" si="0"/>
        <v>1281200</v>
      </c>
      <c r="N22" s="3">
        <f t="shared" si="1"/>
        <v>1281200</v>
      </c>
      <c r="O22" s="3">
        <f t="shared" si="2"/>
        <v>339296</v>
      </c>
      <c r="Q22" s="3"/>
      <c r="R22" s="3">
        <f>'10-Year Fac Renewal Revised'!I21</f>
        <v>184999.99999999997</v>
      </c>
      <c r="S22" s="5">
        <f t="shared" si="3"/>
        <v>184999.99999999997</v>
      </c>
      <c r="T22" s="3">
        <f>'10-Year Fac Renewal Revised'!K21</f>
        <v>129307.99999999999</v>
      </c>
      <c r="V22" s="5"/>
      <c r="W22" s="5">
        <f t="shared" si="4"/>
        <v>324638.6547585759</v>
      </c>
      <c r="X22" s="5">
        <f t="shared" si="5"/>
        <v>324638.6547585759</v>
      </c>
      <c r="Y22" s="5">
        <f t="shared" si="6"/>
        <v>49350.154946808463</v>
      </c>
      <c r="AB22" s="5">
        <f t="shared" si="7"/>
        <v>314486.34524142428</v>
      </c>
      <c r="AC22" s="5">
        <f t="shared" si="8"/>
        <v>314486.34524142428</v>
      </c>
      <c r="AD22" s="5">
        <f t="shared" si="9"/>
        <v>47806.845053191566</v>
      </c>
      <c r="AG22" s="5">
        <f>'20-Year Acad Revised'!I21+'20-Year Fac Renewal Acad'!I21</f>
        <v>325663.50436475343</v>
      </c>
      <c r="AH22" s="5">
        <f t="shared" si="20"/>
        <v>325663.50436475343</v>
      </c>
      <c r="AI22" s="5">
        <f>'20-Year Acad Revised'!K21+'20-Year Fac Renewal Acad'!K21</f>
        <v>80391.48686972486</v>
      </c>
      <c r="AK22" s="3"/>
      <c r="AL22" s="3">
        <f t="shared" si="10"/>
        <v>131411.49563524665</v>
      </c>
      <c r="AM22" s="5">
        <f t="shared" si="11"/>
        <v>131411.49563524665</v>
      </c>
      <c r="AN22" s="3">
        <f t="shared" si="10"/>
        <v>32439.513130275147</v>
      </c>
      <c r="AO22" s="5"/>
      <c r="AP22" s="5"/>
      <c r="AQ22" s="5">
        <f t="shared" si="12"/>
        <v>89.847328418918408</v>
      </c>
      <c r="AR22" s="5">
        <f t="shared" si="21"/>
        <v>89.847328418918408</v>
      </c>
      <c r="AS22" s="5">
        <f t="shared" si="22"/>
        <v>22.179213286298708</v>
      </c>
      <c r="AV22" s="5">
        <f t="shared" si="13"/>
        <v>4197.3447532352529</v>
      </c>
      <c r="AW22" s="5">
        <f t="shared" si="23"/>
        <v>4197.3447532352529</v>
      </c>
      <c r="AX22" s="5">
        <f t="shared" si="24"/>
        <v>1036.1332513313719</v>
      </c>
      <c r="AZ22" s="5"/>
      <c r="BA22" s="5"/>
      <c r="BB22" s="5"/>
      <c r="BC22" s="5"/>
      <c r="BD22" s="5"/>
      <c r="BF22" s="5">
        <f t="shared" si="14"/>
        <v>1396.3906046307811</v>
      </c>
      <c r="BG22" s="5">
        <f t="shared" si="25"/>
        <v>1396.3906046307811</v>
      </c>
      <c r="BH22" s="5">
        <f t="shared" si="26"/>
        <v>344.70524161482399</v>
      </c>
      <c r="BK22" s="5">
        <f t="shared" si="15"/>
        <v>97213.116881301787</v>
      </c>
      <c r="BL22" s="5">
        <f t="shared" si="27"/>
        <v>97213.116881301787</v>
      </c>
      <c r="BM22" s="5">
        <f t="shared" si="28"/>
        <v>23997.490982517447</v>
      </c>
      <c r="BP22" s="5">
        <f t="shared" si="16"/>
        <v>25748.605012553147</v>
      </c>
      <c r="BQ22" s="5">
        <f t="shared" si="29"/>
        <v>25748.605012553147</v>
      </c>
      <c r="BR22" s="5">
        <f t="shared" si="30"/>
        <v>6356.1578563066987</v>
      </c>
      <c r="BU22" s="5">
        <f t="shared" si="17"/>
        <v>623.46749515411386</v>
      </c>
      <c r="BV22" s="5">
        <f t="shared" si="31"/>
        <v>623.46749515411386</v>
      </c>
      <c r="BW22" s="5">
        <f t="shared" si="32"/>
        <v>153.90572870039668</v>
      </c>
      <c r="CB22" s="5"/>
      <c r="CC22" s="5"/>
      <c r="CE22" s="5">
        <f t="shared" si="18"/>
        <v>2142.7235599526462</v>
      </c>
      <c r="CF22" s="5">
        <f t="shared" si="19"/>
        <v>2142.7235599526462</v>
      </c>
      <c r="CG22" s="5">
        <f t="shared" si="33"/>
        <v>528.94085651811417</v>
      </c>
      <c r="CL22" s="5">
        <f t="shared" si="34"/>
        <v>0</v>
      </c>
    </row>
    <row r="23" spans="1:90" ht="12" customHeight="1" x14ac:dyDescent="0.25">
      <c r="A23" s="29">
        <v>11049</v>
      </c>
      <c r="C23" s="3">
        <v>1190000</v>
      </c>
      <c r="D23" s="3">
        <v>639125</v>
      </c>
      <c r="E23" s="3">
        <v>97157</v>
      </c>
      <c r="F23" s="3">
        <v>1600000</v>
      </c>
      <c r="G23" s="3">
        <v>457075</v>
      </c>
      <c r="H23" s="3">
        <v>112831</v>
      </c>
      <c r="I23" s="3">
        <v>2345000</v>
      </c>
      <c r="J23" s="3">
        <v>185000</v>
      </c>
      <c r="K23" s="3">
        <v>129308</v>
      </c>
      <c r="L23" s="3">
        <f>C23+F23+I23</f>
        <v>5135000</v>
      </c>
      <c r="M23" s="3">
        <f t="shared" si="0"/>
        <v>1281200</v>
      </c>
      <c r="N23" s="3">
        <f t="shared" si="1"/>
        <v>6416200</v>
      </c>
      <c r="O23" s="3">
        <f t="shared" si="2"/>
        <v>339296</v>
      </c>
      <c r="Q23" s="3">
        <f>'10-Year Fac Renewal Revised'!H22</f>
        <v>2345000</v>
      </c>
      <c r="R23" s="3">
        <f>'10-Year Fac Renewal Revised'!I22</f>
        <v>184999.99999999997</v>
      </c>
      <c r="S23" s="5">
        <f t="shared" si="3"/>
        <v>2530000</v>
      </c>
      <c r="T23" s="3">
        <f>'10-Year Fac Renewal Revised'!K22</f>
        <v>129307.99999999999</v>
      </c>
      <c r="V23" s="5">
        <f>C23*$V$8</f>
        <v>604451.39708618086</v>
      </c>
      <c r="W23" s="5">
        <f t="shared" si="4"/>
        <v>324638.6547585759</v>
      </c>
      <c r="X23" s="5">
        <f t="shared" si="5"/>
        <v>929090.05184475682</v>
      </c>
      <c r="Y23" s="5">
        <f t="shared" si="6"/>
        <v>49350.154946808463</v>
      </c>
      <c r="AA23" s="5">
        <f>C23*$AA$8</f>
        <v>585548.60291381949</v>
      </c>
      <c r="AB23" s="5">
        <f t="shared" si="7"/>
        <v>314486.34524142428</v>
      </c>
      <c r="AC23" s="5">
        <f t="shared" si="8"/>
        <v>900034.94815524376</v>
      </c>
      <c r="AD23" s="5">
        <f t="shared" si="9"/>
        <v>47806.845053191566</v>
      </c>
      <c r="AF23" s="5">
        <f>'20-Year Acad Revised'!H22+'20-Year Fac Renewal Acad'!H22</f>
        <v>1139991.4827623595</v>
      </c>
      <c r="AG23" s="5">
        <f>'20-Year Acad Revised'!I22+'20-Year Fac Renewal Acad'!I22</f>
        <v>325663.50436475343</v>
      </c>
      <c r="AH23" s="5">
        <f t="shared" si="20"/>
        <v>1465654.9871271129</v>
      </c>
      <c r="AI23" s="5">
        <f>'20-Year Acad Revised'!K22+'20-Year Fac Renewal Acad'!K22</f>
        <v>80391.48686972486</v>
      </c>
      <c r="AK23" s="3">
        <f>+AZ23+CD23+BE23+BJ23+BO23+BT23+AP23+AU23</f>
        <v>460008.51723764068</v>
      </c>
      <c r="AL23" s="3">
        <f t="shared" si="10"/>
        <v>131411.49563524665</v>
      </c>
      <c r="AM23" s="5">
        <f t="shared" si="11"/>
        <v>591420.01287288731</v>
      </c>
      <c r="AN23" s="3">
        <f t="shared" si="10"/>
        <v>32439.513130275147</v>
      </c>
      <c r="AO23" s="5"/>
      <c r="AP23" s="5">
        <f>F23*$AQ$8</f>
        <v>314.51233489092482</v>
      </c>
      <c r="AQ23" s="5">
        <f t="shared" si="12"/>
        <v>89.847328418918408</v>
      </c>
      <c r="AR23" s="5">
        <f t="shared" si="21"/>
        <v>404.3596633098432</v>
      </c>
      <c r="AS23" s="5">
        <f t="shared" si="22"/>
        <v>22.179213286298708</v>
      </c>
      <c r="AU23" s="5">
        <f>F23*$AV$8</f>
        <v>14692.887611828264</v>
      </c>
      <c r="AV23" s="5">
        <f t="shared" si="13"/>
        <v>4197.3447532352529</v>
      </c>
      <c r="AW23" s="5">
        <f t="shared" si="23"/>
        <v>18890.232365063515</v>
      </c>
      <c r="AX23" s="5">
        <f t="shared" si="24"/>
        <v>1036.1332513313719</v>
      </c>
      <c r="AZ23" s="5"/>
      <c r="BA23" s="5"/>
      <c r="BB23" s="5"/>
      <c r="BC23" s="5"/>
      <c r="BD23" s="5"/>
      <c r="BE23" s="5">
        <f>F23*$BF$8</f>
        <v>4888.092692466772</v>
      </c>
      <c r="BF23" s="5">
        <f t="shared" si="14"/>
        <v>1396.3906046307811</v>
      </c>
      <c r="BG23" s="5">
        <f t="shared" si="25"/>
        <v>6284.4832970975531</v>
      </c>
      <c r="BH23" s="5">
        <f t="shared" si="26"/>
        <v>344.70524161482399</v>
      </c>
      <c r="BJ23" s="5">
        <f>F23*$BK$8</f>
        <v>340296.42183467234</v>
      </c>
      <c r="BK23" s="5">
        <f t="shared" si="15"/>
        <v>97213.116881301787</v>
      </c>
      <c r="BL23" s="5">
        <f t="shared" si="27"/>
        <v>437509.53871597414</v>
      </c>
      <c r="BM23" s="5">
        <f t="shared" si="28"/>
        <v>23997.490982517447</v>
      </c>
      <c r="BO23" s="5">
        <f>F23*$BP$8</f>
        <v>90133.496734857603</v>
      </c>
      <c r="BP23" s="5">
        <f t="shared" si="16"/>
        <v>25748.605012553147</v>
      </c>
      <c r="BQ23" s="5">
        <f t="shared" si="29"/>
        <v>115882.10174741075</v>
      </c>
      <c r="BR23" s="5">
        <f t="shared" si="30"/>
        <v>6356.1578563066987</v>
      </c>
      <c r="BT23" s="5">
        <f>F23*$BU$8</f>
        <v>2182.4601919741444</v>
      </c>
      <c r="BU23" s="5">
        <f t="shared" si="17"/>
        <v>623.46749515411386</v>
      </c>
      <c r="BV23" s="5">
        <f t="shared" si="31"/>
        <v>2805.9276871282582</v>
      </c>
      <c r="BW23" s="5">
        <f t="shared" si="32"/>
        <v>153.90572870039668</v>
      </c>
      <c r="CB23" s="5"/>
      <c r="CC23" s="5"/>
      <c r="CD23" s="5">
        <f>F23*$CE$8</f>
        <v>7500.6458369506836</v>
      </c>
      <c r="CE23" s="5">
        <f t="shared" si="18"/>
        <v>2142.7235599526462</v>
      </c>
      <c r="CF23" s="5">
        <f t="shared" si="19"/>
        <v>9643.3693969033302</v>
      </c>
      <c r="CG23" s="5">
        <f t="shared" si="33"/>
        <v>528.94085651811417</v>
      </c>
      <c r="CL23" s="5">
        <f t="shared" si="34"/>
        <v>0</v>
      </c>
    </row>
    <row r="24" spans="1:90" ht="12" customHeight="1" x14ac:dyDescent="0.25">
      <c r="A24" s="29">
        <v>11232</v>
      </c>
      <c r="D24" s="3">
        <v>609375</v>
      </c>
      <c r="E24" s="3">
        <v>97157</v>
      </c>
      <c r="G24" s="3">
        <v>417075</v>
      </c>
      <c r="H24" s="3">
        <v>112831</v>
      </c>
      <c r="J24" s="3">
        <v>126375</v>
      </c>
      <c r="K24" s="3">
        <v>129308</v>
      </c>
      <c r="M24" s="3">
        <f t="shared" si="0"/>
        <v>1152825</v>
      </c>
      <c r="N24" s="3">
        <f t="shared" si="1"/>
        <v>1152825</v>
      </c>
      <c r="O24" s="3">
        <f t="shared" si="2"/>
        <v>339296</v>
      </c>
      <c r="Q24" s="3"/>
      <c r="R24" s="3">
        <f>'10-Year Fac Renewal Revised'!I23</f>
        <v>126374.99999999999</v>
      </c>
      <c r="S24" s="5">
        <f t="shared" si="3"/>
        <v>126374.99999999999</v>
      </c>
      <c r="T24" s="3">
        <f>'10-Year Fac Renewal Revised'!K23</f>
        <v>129307.99999999999</v>
      </c>
      <c r="V24" s="5"/>
      <c r="W24" s="5">
        <f t="shared" si="4"/>
        <v>309527.36983142141</v>
      </c>
      <c r="X24" s="5">
        <f t="shared" si="5"/>
        <v>309527.36983142141</v>
      </c>
      <c r="Y24" s="5">
        <f t="shared" si="6"/>
        <v>49350.154946808463</v>
      </c>
      <c r="AB24" s="5">
        <f t="shared" si="7"/>
        <v>299847.63016857882</v>
      </c>
      <c r="AC24" s="5">
        <f t="shared" si="8"/>
        <v>299847.63016857882</v>
      </c>
      <c r="AD24" s="5">
        <f t="shared" si="9"/>
        <v>47806.845053191566</v>
      </c>
      <c r="AG24" s="5">
        <f>'20-Year Acad Revised'!I23+'20-Year Fac Renewal Acad'!I23</f>
        <v>297163.7172956944</v>
      </c>
      <c r="AH24" s="5">
        <f t="shared" si="20"/>
        <v>297163.7172956944</v>
      </c>
      <c r="AI24" s="5">
        <f>'20-Year Acad Revised'!K23+'20-Year Fac Renewal Acad'!K23</f>
        <v>80391.48686972486</v>
      </c>
      <c r="AK24" s="3"/>
      <c r="AL24" s="3">
        <f t="shared" si="10"/>
        <v>119911.28270430563</v>
      </c>
      <c r="AM24" s="5">
        <f t="shared" si="11"/>
        <v>119911.28270430563</v>
      </c>
      <c r="AN24" s="3">
        <f t="shared" si="10"/>
        <v>32439.513130275147</v>
      </c>
      <c r="AO24" s="5"/>
      <c r="AP24" s="5"/>
      <c r="AQ24" s="5">
        <f t="shared" si="12"/>
        <v>81.984520046645287</v>
      </c>
      <c r="AR24" s="5">
        <f t="shared" si="21"/>
        <v>81.984520046645287</v>
      </c>
      <c r="AS24" s="5">
        <f t="shared" si="22"/>
        <v>22.179213286298708</v>
      </c>
      <c r="AV24" s="5">
        <f t="shared" si="13"/>
        <v>3830.0225629395459</v>
      </c>
      <c r="AW24" s="5">
        <f t="shared" si="23"/>
        <v>3830.0225629395459</v>
      </c>
      <c r="AX24" s="5">
        <f t="shared" si="24"/>
        <v>1036.1332513313719</v>
      </c>
      <c r="AZ24" s="5"/>
      <c r="BA24" s="5"/>
      <c r="BB24" s="5"/>
      <c r="BC24" s="5"/>
      <c r="BD24" s="5"/>
      <c r="BF24" s="5">
        <f t="shared" si="14"/>
        <v>1274.1882873191119</v>
      </c>
      <c r="BG24" s="5">
        <f t="shared" si="25"/>
        <v>1274.1882873191119</v>
      </c>
      <c r="BH24" s="5">
        <f t="shared" si="26"/>
        <v>344.70524161482399</v>
      </c>
      <c r="BK24" s="5">
        <f t="shared" si="15"/>
        <v>88705.706335434981</v>
      </c>
      <c r="BL24" s="5">
        <f t="shared" si="27"/>
        <v>88705.706335434981</v>
      </c>
      <c r="BM24" s="5">
        <f t="shared" si="28"/>
        <v>23997.490982517447</v>
      </c>
      <c r="BP24" s="5">
        <f t="shared" si="16"/>
        <v>23495.267594181707</v>
      </c>
      <c r="BQ24" s="5">
        <f t="shared" si="29"/>
        <v>23495.267594181707</v>
      </c>
      <c r="BR24" s="5">
        <f t="shared" si="30"/>
        <v>6356.1578563066987</v>
      </c>
      <c r="BU24" s="5">
        <f t="shared" si="17"/>
        <v>568.90599035476021</v>
      </c>
      <c r="BV24" s="5">
        <f t="shared" si="31"/>
        <v>568.90599035476021</v>
      </c>
      <c r="BW24" s="5">
        <f t="shared" si="32"/>
        <v>153.90572870039668</v>
      </c>
      <c r="CB24" s="5"/>
      <c r="CC24" s="5"/>
      <c r="CE24" s="5">
        <f t="shared" si="18"/>
        <v>1955.2074140288792</v>
      </c>
      <c r="CF24" s="5">
        <f t="shared" si="19"/>
        <v>1955.2074140288792</v>
      </c>
      <c r="CG24" s="5">
        <f t="shared" si="33"/>
        <v>528.94085651811417</v>
      </c>
      <c r="CL24" s="5">
        <f t="shared" si="34"/>
        <v>0</v>
      </c>
    </row>
    <row r="25" spans="1:90" ht="12" customHeight="1" x14ac:dyDescent="0.25">
      <c r="A25" s="29">
        <v>11414</v>
      </c>
      <c r="C25" s="3">
        <v>1250000</v>
      </c>
      <c r="D25" s="3">
        <v>609375</v>
      </c>
      <c r="E25" s="3">
        <v>97157</v>
      </c>
      <c r="F25" s="3">
        <v>1680000</v>
      </c>
      <c r="G25" s="3">
        <v>417075</v>
      </c>
      <c r="H25" s="3">
        <v>112831</v>
      </c>
      <c r="I25" s="3">
        <v>2465000</v>
      </c>
      <c r="J25" s="3">
        <v>126375</v>
      </c>
      <c r="K25" s="3">
        <v>129308</v>
      </c>
      <c r="L25" s="3">
        <f>C25+F25+I25</f>
        <v>5395000</v>
      </c>
      <c r="M25" s="3">
        <f t="shared" si="0"/>
        <v>1152825</v>
      </c>
      <c r="N25" s="3">
        <f t="shared" si="1"/>
        <v>6547825</v>
      </c>
      <c r="O25" s="3">
        <f t="shared" si="2"/>
        <v>339296</v>
      </c>
      <c r="Q25" s="3">
        <f>'10-Year Fac Renewal Revised'!H24</f>
        <v>2465000</v>
      </c>
      <c r="R25" s="3">
        <f>'10-Year Fac Renewal Revised'!I24</f>
        <v>126374.99999999999</v>
      </c>
      <c r="S25" s="5">
        <f t="shared" si="3"/>
        <v>2591375</v>
      </c>
      <c r="T25" s="3">
        <f>'10-Year Fac Renewal Revised'!K24</f>
        <v>129307.99999999999</v>
      </c>
      <c r="V25" s="5">
        <f>C25*$V$8</f>
        <v>634927.93811573624</v>
      </c>
      <c r="W25" s="5">
        <f t="shared" si="4"/>
        <v>309527.36983142141</v>
      </c>
      <c r="X25" s="5">
        <f t="shared" si="5"/>
        <v>944455.30794715765</v>
      </c>
      <c r="Y25" s="5">
        <f t="shared" si="6"/>
        <v>49350.154946808463</v>
      </c>
      <c r="AA25" s="5">
        <f>C25*$AA$8</f>
        <v>615072.06188426423</v>
      </c>
      <c r="AB25" s="5">
        <f t="shared" si="7"/>
        <v>299847.63016857882</v>
      </c>
      <c r="AC25" s="5">
        <f t="shared" si="8"/>
        <v>914919.69205284305</v>
      </c>
      <c r="AD25" s="5">
        <f t="shared" si="9"/>
        <v>47806.845053191566</v>
      </c>
      <c r="AF25" s="5">
        <f>'20-Year Acad Revised'!H24+'20-Year Fac Renewal Acad'!H24</f>
        <v>1196991.0569004775</v>
      </c>
      <c r="AG25" s="5">
        <f>'20-Year Acad Revised'!I24+'20-Year Fac Renewal Acad'!I24</f>
        <v>297163.7172956944</v>
      </c>
      <c r="AH25" s="5">
        <f t="shared" si="20"/>
        <v>1494154.7741961719</v>
      </c>
      <c r="AI25" s="5">
        <f>'20-Year Acad Revised'!K24+'20-Year Fac Renewal Acad'!K24</f>
        <v>80391.48686972486</v>
      </c>
      <c r="AK25" s="3">
        <f>+AZ25+CD25+BE25+BJ25+BO25+BT25+AP25+AU25</f>
        <v>483008.94309952273</v>
      </c>
      <c r="AL25" s="3">
        <f t="shared" si="10"/>
        <v>119911.28270430563</v>
      </c>
      <c r="AM25" s="5">
        <f t="shared" si="11"/>
        <v>602920.22580382833</v>
      </c>
      <c r="AN25" s="3">
        <f t="shared" si="10"/>
        <v>32439.513130275147</v>
      </c>
      <c r="AO25" s="5"/>
      <c r="AP25" s="5">
        <f>F25*$AQ$8</f>
        <v>330.23795163547106</v>
      </c>
      <c r="AQ25" s="5">
        <f t="shared" si="12"/>
        <v>81.984520046645287</v>
      </c>
      <c r="AR25" s="5">
        <f t="shared" si="21"/>
        <v>412.22247168211635</v>
      </c>
      <c r="AS25" s="5">
        <f t="shared" si="22"/>
        <v>22.179213286298708</v>
      </c>
      <c r="AU25" s="5">
        <f>F25*$AV$8</f>
        <v>15427.531992419677</v>
      </c>
      <c r="AV25" s="5">
        <f t="shared" si="13"/>
        <v>3830.0225629395459</v>
      </c>
      <c r="AW25" s="5">
        <f t="shared" si="23"/>
        <v>19257.554555359224</v>
      </c>
      <c r="AX25" s="5">
        <f t="shared" si="24"/>
        <v>1036.1332513313719</v>
      </c>
      <c r="AZ25" s="5"/>
      <c r="BA25" s="5"/>
      <c r="BB25" s="5"/>
      <c r="BC25" s="5"/>
      <c r="BD25" s="5"/>
      <c r="BE25" s="5">
        <f>F25*$BF$8</f>
        <v>5132.497327090111</v>
      </c>
      <c r="BF25" s="5">
        <f t="shared" si="14"/>
        <v>1274.1882873191119</v>
      </c>
      <c r="BG25" s="5">
        <f t="shared" si="25"/>
        <v>6406.6856144092226</v>
      </c>
      <c r="BH25" s="5">
        <f t="shared" si="26"/>
        <v>344.70524161482399</v>
      </c>
      <c r="BJ25" s="5">
        <f>F25*$BK$8</f>
        <v>357311.24292640592</v>
      </c>
      <c r="BK25" s="5">
        <f t="shared" si="15"/>
        <v>88705.706335434981</v>
      </c>
      <c r="BL25" s="5">
        <f t="shared" si="27"/>
        <v>446016.9492618409</v>
      </c>
      <c r="BM25" s="5">
        <f t="shared" si="28"/>
        <v>23997.490982517447</v>
      </c>
      <c r="BO25" s="5">
        <f>F25*$BP$8</f>
        <v>94640.171571600484</v>
      </c>
      <c r="BP25" s="5">
        <f t="shared" si="16"/>
        <v>23495.267594181707</v>
      </c>
      <c r="BQ25" s="5">
        <f t="shared" si="29"/>
        <v>118135.43916578218</v>
      </c>
      <c r="BR25" s="5">
        <f t="shared" si="30"/>
        <v>6356.1578563066987</v>
      </c>
      <c r="BT25" s="5">
        <f>F25*$BU$8</f>
        <v>2291.5832015728515</v>
      </c>
      <c r="BU25" s="5">
        <f t="shared" si="17"/>
        <v>568.90599035476021</v>
      </c>
      <c r="BV25" s="5">
        <f t="shared" si="31"/>
        <v>2860.4891919276115</v>
      </c>
      <c r="BW25" s="5">
        <f t="shared" si="32"/>
        <v>153.90572870039668</v>
      </c>
      <c r="CB25" s="5"/>
      <c r="CC25" s="5"/>
      <c r="CD25" s="5">
        <f>F25*$CE$8</f>
        <v>7875.6781287982185</v>
      </c>
      <c r="CE25" s="5">
        <f t="shared" si="18"/>
        <v>1955.2074140288792</v>
      </c>
      <c r="CF25" s="5">
        <f t="shared" si="19"/>
        <v>9830.8855428270981</v>
      </c>
      <c r="CG25" s="5">
        <f t="shared" si="33"/>
        <v>528.94085651811417</v>
      </c>
      <c r="CL25" s="5">
        <f t="shared" si="34"/>
        <v>0</v>
      </c>
    </row>
    <row r="26" spans="1:90" ht="12" customHeight="1" x14ac:dyDescent="0.25">
      <c r="A26" s="29">
        <v>11597</v>
      </c>
      <c r="D26" s="3">
        <v>578125</v>
      </c>
      <c r="E26" s="3">
        <v>97157</v>
      </c>
      <c r="G26" s="3">
        <v>375075</v>
      </c>
      <c r="H26" s="3">
        <v>112831</v>
      </c>
      <c r="J26" s="3">
        <v>64750</v>
      </c>
      <c r="K26" s="3">
        <v>129308</v>
      </c>
      <c r="M26" s="3">
        <f t="shared" si="0"/>
        <v>1017950</v>
      </c>
      <c r="N26" s="3">
        <f t="shared" si="1"/>
        <v>1017950</v>
      </c>
      <c r="O26" s="3">
        <f t="shared" si="2"/>
        <v>339296</v>
      </c>
      <c r="Q26" s="3"/>
      <c r="R26" s="3">
        <f>'10-Year Fac Renewal Revised'!I25</f>
        <v>64749.999999999993</v>
      </c>
      <c r="S26" s="5">
        <f t="shared" si="3"/>
        <v>64749.999999999993</v>
      </c>
      <c r="T26" s="3">
        <f>'10-Year Fac Renewal Revised'!K25</f>
        <v>129307.99999999999</v>
      </c>
      <c r="V26" s="5"/>
      <c r="W26" s="5">
        <f t="shared" si="4"/>
        <v>293654.171378528</v>
      </c>
      <c r="X26" s="5">
        <f t="shared" si="5"/>
        <v>293654.171378528</v>
      </c>
      <c r="Y26" s="5">
        <f t="shared" si="6"/>
        <v>49350.154946808463</v>
      </c>
      <c r="AB26" s="5">
        <f t="shared" si="7"/>
        <v>284470.82862147217</v>
      </c>
      <c r="AC26" s="5">
        <f t="shared" si="8"/>
        <v>284470.82862147217</v>
      </c>
      <c r="AD26" s="5">
        <f t="shared" si="9"/>
        <v>47806.845053191566</v>
      </c>
      <c r="AG26" s="5">
        <f>'20-Year Acad Revised'!I25+'20-Year Fac Renewal Acad'!I25</f>
        <v>267238.9408731825</v>
      </c>
      <c r="AH26" s="5">
        <f t="shared" si="20"/>
        <v>267238.9408731825</v>
      </c>
      <c r="AI26" s="5">
        <f>'20-Year Acad Revised'!K25+'20-Year Fac Renewal Acad'!K25</f>
        <v>80391.48686972486</v>
      </c>
      <c r="AK26" s="3"/>
      <c r="AL26" s="3">
        <f t="shared" si="10"/>
        <v>107836.05912681759</v>
      </c>
      <c r="AM26" s="5">
        <f t="shared" si="11"/>
        <v>107836.05912681759</v>
      </c>
      <c r="AN26" s="3">
        <f t="shared" si="10"/>
        <v>32439.513130275147</v>
      </c>
      <c r="AO26" s="5"/>
      <c r="AP26" s="5"/>
      <c r="AQ26" s="5">
        <f t="shared" si="12"/>
        <v>73.72857125575851</v>
      </c>
      <c r="AR26" s="5">
        <f t="shared" si="21"/>
        <v>73.72857125575851</v>
      </c>
      <c r="AS26" s="5">
        <f t="shared" si="22"/>
        <v>22.179213286298708</v>
      </c>
      <c r="AV26" s="5">
        <f t="shared" si="13"/>
        <v>3444.3342631290539</v>
      </c>
      <c r="AW26" s="5">
        <f t="shared" si="23"/>
        <v>3444.3342631290539</v>
      </c>
      <c r="AX26" s="5">
        <f t="shared" si="24"/>
        <v>1036.1332513313719</v>
      </c>
      <c r="AZ26" s="5"/>
      <c r="BA26" s="5"/>
      <c r="BB26" s="5"/>
      <c r="BC26" s="5"/>
      <c r="BD26" s="5"/>
      <c r="BF26" s="5">
        <f t="shared" si="14"/>
        <v>1145.8758541418592</v>
      </c>
      <c r="BG26" s="5">
        <f t="shared" si="25"/>
        <v>1145.8758541418592</v>
      </c>
      <c r="BH26" s="5">
        <f t="shared" si="26"/>
        <v>344.70524161482399</v>
      </c>
      <c r="BK26" s="5">
        <f t="shared" si="15"/>
        <v>79772.925262274832</v>
      </c>
      <c r="BL26" s="5">
        <f t="shared" si="27"/>
        <v>79772.925262274832</v>
      </c>
      <c r="BM26" s="5">
        <f t="shared" si="28"/>
        <v>23997.490982517447</v>
      </c>
      <c r="BP26" s="5">
        <f t="shared" si="16"/>
        <v>21129.263304891698</v>
      </c>
      <c r="BQ26" s="5">
        <f t="shared" si="29"/>
        <v>21129.263304891698</v>
      </c>
      <c r="BR26" s="5">
        <f t="shared" si="30"/>
        <v>6356.1578563066987</v>
      </c>
      <c r="BU26" s="5">
        <f t="shared" si="17"/>
        <v>511.61641031543888</v>
      </c>
      <c r="BV26" s="5">
        <f t="shared" si="31"/>
        <v>511.61641031543888</v>
      </c>
      <c r="BW26" s="5">
        <f t="shared" si="32"/>
        <v>153.90572870039668</v>
      </c>
      <c r="CB26" s="5"/>
      <c r="CC26" s="5"/>
      <c r="CE26" s="5">
        <f t="shared" si="18"/>
        <v>1758.3154608089237</v>
      </c>
      <c r="CF26" s="5">
        <f t="shared" si="19"/>
        <v>1758.3154608089237</v>
      </c>
      <c r="CG26" s="5">
        <f t="shared" si="33"/>
        <v>528.94085651811417</v>
      </c>
      <c r="CL26" s="5">
        <f t="shared" si="34"/>
        <v>0</v>
      </c>
    </row>
    <row r="27" spans="1:90" ht="12" customHeight="1" x14ac:dyDescent="0.25">
      <c r="A27" s="29">
        <v>11780</v>
      </c>
      <c r="C27" s="3">
        <v>1315000</v>
      </c>
      <c r="D27" s="3">
        <v>578125</v>
      </c>
      <c r="E27" s="3">
        <v>97157</v>
      </c>
      <c r="F27" s="3">
        <v>1765000</v>
      </c>
      <c r="G27" s="3">
        <v>375075</v>
      </c>
      <c r="H27" s="3">
        <v>112831</v>
      </c>
      <c r="I27" s="3">
        <v>2590000</v>
      </c>
      <c r="J27" s="3">
        <v>64750</v>
      </c>
      <c r="K27" s="3">
        <v>129308</v>
      </c>
      <c r="L27" s="3">
        <f>C27+F27+I27</f>
        <v>5670000</v>
      </c>
      <c r="M27" s="3">
        <f t="shared" si="0"/>
        <v>1017950</v>
      </c>
      <c r="N27" s="3">
        <f t="shared" si="1"/>
        <v>6687950</v>
      </c>
      <c r="O27" s="3">
        <f t="shared" si="2"/>
        <v>339296</v>
      </c>
      <c r="Q27" s="3">
        <f>'10-Year Fac Renewal Revised'!H26</f>
        <v>2589999.9999999991</v>
      </c>
      <c r="R27" s="3">
        <f>'10-Year Fac Renewal Revised'!I26</f>
        <v>64749.999999999993</v>
      </c>
      <c r="S27" s="5">
        <f t="shared" si="3"/>
        <v>2654749.9999999991</v>
      </c>
      <c r="T27" s="3">
        <f>'10-Year Fac Renewal Revised'!K26</f>
        <v>129307.99999999999</v>
      </c>
      <c r="V27" s="5">
        <f>C27*$V$8</f>
        <v>667944.19089775451</v>
      </c>
      <c r="W27" s="5">
        <f t="shared" si="4"/>
        <v>293654.171378528</v>
      </c>
      <c r="X27" s="5">
        <f t="shared" si="5"/>
        <v>961598.36227628251</v>
      </c>
      <c r="Y27" s="5">
        <f t="shared" si="6"/>
        <v>49350.154946808463</v>
      </c>
      <c r="AA27" s="5">
        <f>C27*$AA$8</f>
        <v>647055.80910224596</v>
      </c>
      <c r="AB27" s="5">
        <f t="shared" si="7"/>
        <v>284470.82862147217</v>
      </c>
      <c r="AC27" s="5">
        <f t="shared" si="8"/>
        <v>931526.63772371807</v>
      </c>
      <c r="AD27" s="5">
        <f t="shared" si="9"/>
        <v>47806.845053191566</v>
      </c>
      <c r="AF27" s="5">
        <f>'20-Year Acad Revised'!H26+'20-Year Fac Renewal Acad'!H26</f>
        <v>1257553.1044222279</v>
      </c>
      <c r="AG27" s="5">
        <f>'20-Year Acad Revised'!I26+'20-Year Fac Renewal Acad'!I26</f>
        <v>267238.9408731825</v>
      </c>
      <c r="AH27" s="5">
        <f t="shared" si="20"/>
        <v>1524792.0452954103</v>
      </c>
      <c r="AI27" s="5">
        <f>'20-Year Acad Revised'!K26+'20-Year Fac Renewal Acad'!K26</f>
        <v>80391.48686972486</v>
      </c>
      <c r="AK27" s="3">
        <f>+AZ27+CD27+BE27+BJ27+BO27+BT27+AP27+AU27</f>
        <v>507446.8955777724</v>
      </c>
      <c r="AL27" s="3">
        <f t="shared" si="10"/>
        <v>107836.05912681759</v>
      </c>
      <c r="AM27" s="5">
        <f t="shared" si="11"/>
        <v>615282.95470459003</v>
      </c>
      <c r="AN27" s="3">
        <f t="shared" si="10"/>
        <v>32439.513130275147</v>
      </c>
      <c r="AO27" s="5"/>
      <c r="AP27" s="5">
        <f>F27*$AQ$8</f>
        <v>346.94641942655142</v>
      </c>
      <c r="AQ27" s="5">
        <f t="shared" si="12"/>
        <v>73.72857125575851</v>
      </c>
      <c r="AR27" s="5">
        <f t="shared" si="21"/>
        <v>420.67499068230995</v>
      </c>
      <c r="AS27" s="5">
        <f t="shared" si="22"/>
        <v>22.179213286298708</v>
      </c>
      <c r="AU27" s="5">
        <f>F27*$AV$8</f>
        <v>16208.091646798055</v>
      </c>
      <c r="AV27" s="5">
        <f t="shared" si="13"/>
        <v>3444.3342631290539</v>
      </c>
      <c r="AW27" s="5">
        <f t="shared" si="23"/>
        <v>19652.425909927108</v>
      </c>
      <c r="AX27" s="5">
        <f t="shared" si="24"/>
        <v>1036.1332513313719</v>
      </c>
      <c r="AZ27" s="5"/>
      <c r="BA27" s="5"/>
      <c r="BB27" s="5"/>
      <c r="BC27" s="5"/>
      <c r="BD27" s="5"/>
      <c r="BE27" s="5">
        <f>F27*$BF$8</f>
        <v>5392.1772513774085</v>
      </c>
      <c r="BF27" s="5">
        <f t="shared" si="14"/>
        <v>1145.8758541418592</v>
      </c>
      <c r="BG27" s="5">
        <f t="shared" si="25"/>
        <v>6538.0531055192678</v>
      </c>
      <c r="BH27" s="5">
        <f t="shared" si="26"/>
        <v>344.70524161482399</v>
      </c>
      <c r="BJ27" s="5">
        <f>F27*$BK$8</f>
        <v>375389.49033637292</v>
      </c>
      <c r="BK27" s="5">
        <f t="shared" si="15"/>
        <v>79772.925262274832</v>
      </c>
      <c r="BL27" s="5">
        <f t="shared" si="27"/>
        <v>455162.41559864779</v>
      </c>
      <c r="BM27" s="5">
        <f t="shared" si="28"/>
        <v>23997.490982517447</v>
      </c>
      <c r="BO27" s="5">
        <f>F27*$BP$8</f>
        <v>99428.513585639783</v>
      </c>
      <c r="BP27" s="5">
        <f t="shared" si="16"/>
        <v>21129.263304891698</v>
      </c>
      <c r="BQ27" s="5">
        <f t="shared" si="29"/>
        <v>120557.77689053147</v>
      </c>
      <c r="BR27" s="5">
        <f t="shared" si="30"/>
        <v>6356.1578563066987</v>
      </c>
      <c r="BT27" s="5">
        <f>F27*$BU$8</f>
        <v>2407.5263992714781</v>
      </c>
      <c r="BU27" s="5">
        <f t="shared" si="17"/>
        <v>511.61641031543888</v>
      </c>
      <c r="BV27" s="5">
        <f t="shared" si="31"/>
        <v>2919.1428095869169</v>
      </c>
      <c r="BW27" s="5">
        <f t="shared" si="32"/>
        <v>153.90572870039668</v>
      </c>
      <c r="CB27" s="5"/>
      <c r="CC27" s="5"/>
      <c r="CD27" s="5">
        <f>F27*$CE$8</f>
        <v>8274.149938886223</v>
      </c>
      <c r="CE27" s="5">
        <f t="shared" si="18"/>
        <v>1758.3154608089237</v>
      </c>
      <c r="CF27" s="5">
        <f t="shared" si="19"/>
        <v>10032.465399695147</v>
      </c>
      <c r="CG27" s="5">
        <f t="shared" si="33"/>
        <v>528.94085651811417</v>
      </c>
      <c r="CL27" s="5">
        <f t="shared" si="34"/>
        <v>0</v>
      </c>
    </row>
    <row r="28" spans="1:90" ht="12" customHeight="1" x14ac:dyDescent="0.25">
      <c r="A28" s="29">
        <v>11963</v>
      </c>
      <c r="D28" s="3">
        <v>545250</v>
      </c>
      <c r="E28" s="3">
        <v>97157</v>
      </c>
      <c r="G28" s="3">
        <v>330950</v>
      </c>
      <c r="H28" s="3">
        <v>112831</v>
      </c>
      <c r="M28" s="3">
        <f t="shared" si="0"/>
        <v>876200</v>
      </c>
      <c r="N28" s="3">
        <f t="shared" si="1"/>
        <v>876200</v>
      </c>
      <c r="O28" s="3">
        <f t="shared" si="2"/>
        <v>209988</v>
      </c>
      <c r="Q28" s="3"/>
      <c r="R28" s="3"/>
      <c r="T28" s="3"/>
      <c r="V28" s="5"/>
      <c r="W28" s="5">
        <f t="shared" si="4"/>
        <v>276955.56660608412</v>
      </c>
      <c r="X28" s="5">
        <f t="shared" si="5"/>
        <v>276955.56660608412</v>
      </c>
      <c r="Y28" s="5">
        <f t="shared" si="6"/>
        <v>49350.154946808463</v>
      </c>
      <c r="AB28" s="5">
        <f t="shared" si="7"/>
        <v>268294.43339391606</v>
      </c>
      <c r="AC28" s="5">
        <f t="shared" si="8"/>
        <v>268294.43339391606</v>
      </c>
      <c r="AD28" s="5">
        <f t="shared" si="9"/>
        <v>47806.845053191566</v>
      </c>
      <c r="AG28" s="5">
        <f>'20-Year Acad Revised'!I27+'20-Year Fac Renewal Acad'!I27</f>
        <v>235800.11326262681</v>
      </c>
      <c r="AH28" s="5">
        <f t="shared" si="20"/>
        <v>235800.11326262681</v>
      </c>
      <c r="AI28" s="5">
        <f>'20-Year Acad Revised'!K27+'20-Year Fac Renewal Acad'!K27</f>
        <v>80391.48686972486</v>
      </c>
      <c r="AK28" s="3"/>
      <c r="AL28" s="3">
        <f t="shared" si="10"/>
        <v>95149.88673737325</v>
      </c>
      <c r="AM28" s="5">
        <f t="shared" si="11"/>
        <v>95149.88673737325</v>
      </c>
      <c r="AN28" s="3">
        <f t="shared" si="10"/>
        <v>32439.513130275147</v>
      </c>
      <c r="AO28" s="5"/>
      <c r="AP28" s="5"/>
      <c r="AQ28" s="5">
        <f t="shared" si="12"/>
        <v>65.054910770094722</v>
      </c>
      <c r="AR28" s="5">
        <f t="shared" si="21"/>
        <v>65.054910770094722</v>
      </c>
      <c r="AS28" s="5">
        <f t="shared" si="22"/>
        <v>22.179213286298708</v>
      </c>
      <c r="AV28" s="5">
        <f t="shared" si="13"/>
        <v>3039.1319719591024</v>
      </c>
      <c r="AW28" s="5">
        <f t="shared" si="23"/>
        <v>3039.1319719591024</v>
      </c>
      <c r="AX28" s="5">
        <f t="shared" si="24"/>
        <v>1036.1332513313719</v>
      </c>
      <c r="AZ28" s="5"/>
      <c r="BA28" s="5"/>
      <c r="BB28" s="5"/>
      <c r="BC28" s="5"/>
      <c r="BD28" s="5"/>
      <c r="BF28" s="5">
        <f t="shared" si="14"/>
        <v>1011.071422857424</v>
      </c>
      <c r="BG28" s="5">
        <f t="shared" si="25"/>
        <v>1011.071422857424</v>
      </c>
      <c r="BH28" s="5">
        <f t="shared" si="26"/>
        <v>344.70524161482399</v>
      </c>
      <c r="BK28" s="5">
        <f t="shared" si="15"/>
        <v>70388.188003865507</v>
      </c>
      <c r="BL28" s="5">
        <f t="shared" si="27"/>
        <v>70388.188003865507</v>
      </c>
      <c r="BM28" s="5">
        <f t="shared" si="28"/>
        <v>23997.490982517447</v>
      </c>
      <c r="BP28" s="5">
        <f t="shared" si="16"/>
        <v>18643.550465250701</v>
      </c>
      <c r="BQ28" s="5">
        <f t="shared" si="29"/>
        <v>18643.550465250701</v>
      </c>
      <c r="BR28" s="5">
        <f t="shared" si="30"/>
        <v>6356.1578563066987</v>
      </c>
      <c r="BU28" s="5">
        <f t="shared" si="17"/>
        <v>451.42825033365193</v>
      </c>
      <c r="BV28" s="5">
        <f t="shared" si="31"/>
        <v>451.42825033365193</v>
      </c>
      <c r="BW28" s="5">
        <f t="shared" si="32"/>
        <v>153.90572870039668</v>
      </c>
      <c r="CB28" s="5"/>
      <c r="CC28" s="5"/>
      <c r="CE28" s="5">
        <f t="shared" si="18"/>
        <v>1551.461712336768</v>
      </c>
      <c r="CF28" s="5">
        <f t="shared" si="19"/>
        <v>1551.461712336768</v>
      </c>
      <c r="CG28" s="5">
        <f t="shared" si="33"/>
        <v>528.94085651811417</v>
      </c>
      <c r="CL28" s="5">
        <f t="shared" si="34"/>
        <v>0</v>
      </c>
    </row>
    <row r="29" spans="1:90" ht="12" customHeight="1" x14ac:dyDescent="0.25">
      <c r="A29" s="29">
        <v>12145</v>
      </c>
      <c r="C29" s="3">
        <v>1380000</v>
      </c>
      <c r="D29" s="3">
        <v>545250</v>
      </c>
      <c r="E29" s="3">
        <v>97157</v>
      </c>
      <c r="F29" s="3">
        <v>1855000</v>
      </c>
      <c r="G29" s="3">
        <v>330950</v>
      </c>
      <c r="H29" s="3">
        <v>112831</v>
      </c>
      <c r="L29" s="3">
        <f>C29+F29+I29</f>
        <v>3235000</v>
      </c>
      <c r="M29" s="3">
        <f t="shared" si="0"/>
        <v>876200</v>
      </c>
      <c r="N29" s="3">
        <f t="shared" si="1"/>
        <v>4111200</v>
      </c>
      <c r="O29" s="3">
        <f t="shared" si="2"/>
        <v>209988</v>
      </c>
      <c r="Q29" s="3"/>
      <c r="R29" s="3"/>
      <c r="T29" s="3"/>
      <c r="V29" s="5">
        <f>C29*$V$8</f>
        <v>700960.44367977278</v>
      </c>
      <c r="W29" s="5">
        <f t="shared" si="4"/>
        <v>276955.56660608412</v>
      </c>
      <c r="X29" s="5">
        <f t="shared" si="5"/>
        <v>977916.0102858569</v>
      </c>
      <c r="Y29" s="5">
        <f t="shared" si="6"/>
        <v>49350.154946808463</v>
      </c>
      <c r="AA29" s="5">
        <f>C29*$AA$8</f>
        <v>679039.55632022768</v>
      </c>
      <c r="AB29" s="5">
        <f t="shared" si="7"/>
        <v>268294.43339391606</v>
      </c>
      <c r="AC29" s="5">
        <f t="shared" si="8"/>
        <v>947333.9897141438</v>
      </c>
      <c r="AD29" s="5">
        <f t="shared" si="9"/>
        <v>47806.845053191566</v>
      </c>
      <c r="AF29" s="5">
        <f>'20-Year Acad Revised'!H28+'20-Year Fac Renewal Acad'!H28</f>
        <v>1321677.6253276104</v>
      </c>
      <c r="AG29" s="5">
        <f>'20-Year Acad Revised'!I28+'20-Year Fac Renewal Acad'!I28</f>
        <v>235800.11326262681</v>
      </c>
      <c r="AH29" s="5">
        <f t="shared" si="20"/>
        <v>1557477.7385902372</v>
      </c>
      <c r="AI29" s="5">
        <f>'20-Year Acad Revised'!K28+'20-Year Fac Renewal Acad'!K28</f>
        <v>80391.48686972486</v>
      </c>
      <c r="AK29" s="3">
        <f>+AZ29+CD29+BE29+BJ29+BO29+BT29+AP29+AU29</f>
        <v>533322.37467238971</v>
      </c>
      <c r="AL29" s="3">
        <f t="shared" si="10"/>
        <v>95149.88673737325</v>
      </c>
      <c r="AM29" s="5">
        <f t="shared" si="11"/>
        <v>628472.26140976301</v>
      </c>
      <c r="AN29" s="3">
        <f t="shared" si="10"/>
        <v>32439.513130275147</v>
      </c>
      <c r="AO29" s="5"/>
      <c r="AP29" s="5">
        <f>F29*$AQ$8</f>
        <v>364.63773826416593</v>
      </c>
      <c r="AQ29" s="5">
        <f t="shared" si="12"/>
        <v>65.054910770094722</v>
      </c>
      <c r="AR29" s="5">
        <f t="shared" si="21"/>
        <v>429.69264903426063</v>
      </c>
      <c r="AS29" s="5">
        <f t="shared" si="22"/>
        <v>22.179213286298708</v>
      </c>
      <c r="AU29" s="5">
        <f>F29*$AV$8</f>
        <v>17034.566574963395</v>
      </c>
      <c r="AV29" s="5">
        <f t="shared" si="13"/>
        <v>3039.1319719591024</v>
      </c>
      <c r="AW29" s="5">
        <f t="shared" si="23"/>
        <v>20073.698546922496</v>
      </c>
      <c r="AX29" s="5">
        <f t="shared" si="24"/>
        <v>1036.1332513313719</v>
      </c>
      <c r="AZ29" s="5"/>
      <c r="BA29" s="5"/>
      <c r="BB29" s="5"/>
      <c r="BC29" s="5"/>
      <c r="BD29" s="5"/>
      <c r="BE29" s="5">
        <f>F29*$BF$8</f>
        <v>5667.1324653286638</v>
      </c>
      <c r="BF29" s="5">
        <f t="shared" si="14"/>
        <v>1011.071422857424</v>
      </c>
      <c r="BG29" s="5">
        <f t="shared" si="25"/>
        <v>6678.2038881860881</v>
      </c>
      <c r="BH29" s="5">
        <f t="shared" si="26"/>
        <v>344.70524161482399</v>
      </c>
      <c r="BJ29" s="5">
        <f>F29*$BK$8</f>
        <v>394531.16406457324</v>
      </c>
      <c r="BK29" s="5">
        <f t="shared" si="15"/>
        <v>70388.188003865507</v>
      </c>
      <c r="BL29" s="5">
        <f t="shared" si="27"/>
        <v>464919.35206843878</v>
      </c>
      <c r="BM29" s="5">
        <f t="shared" si="28"/>
        <v>23997.490982517447</v>
      </c>
      <c r="BO29" s="5">
        <f>F29*$BP$8</f>
        <v>104498.52277697553</v>
      </c>
      <c r="BP29" s="5">
        <f t="shared" si="16"/>
        <v>18643.550465250701</v>
      </c>
      <c r="BQ29" s="5">
        <f t="shared" si="29"/>
        <v>123142.07324222624</v>
      </c>
      <c r="BR29" s="5">
        <f t="shared" si="30"/>
        <v>6356.1578563066987</v>
      </c>
      <c r="BT29" s="5">
        <f>F29*$BU$8</f>
        <v>2530.2897850700238</v>
      </c>
      <c r="BU29" s="5">
        <f t="shared" si="17"/>
        <v>451.42825033365193</v>
      </c>
      <c r="BV29" s="5">
        <f t="shared" si="31"/>
        <v>2981.7180354036755</v>
      </c>
      <c r="BW29" s="5">
        <f t="shared" si="32"/>
        <v>153.90572870039668</v>
      </c>
      <c r="CB29" s="5"/>
      <c r="CC29" s="5"/>
      <c r="CD29" s="5">
        <f>F29*$CE$8</f>
        <v>8696.0612672146999</v>
      </c>
      <c r="CE29" s="5">
        <f t="shared" si="18"/>
        <v>1551.461712336768</v>
      </c>
      <c r="CF29" s="5">
        <f t="shared" si="19"/>
        <v>10247.522979551468</v>
      </c>
      <c r="CG29" s="5">
        <f t="shared" si="33"/>
        <v>528.94085651811417</v>
      </c>
      <c r="CL29" s="5">
        <f t="shared" si="34"/>
        <v>0</v>
      </c>
    </row>
    <row r="30" spans="1:90" ht="12" customHeight="1" x14ac:dyDescent="0.25">
      <c r="A30" s="29">
        <v>12328</v>
      </c>
      <c r="D30" s="3">
        <v>517650</v>
      </c>
      <c r="E30" s="3">
        <v>97157</v>
      </c>
      <c r="G30" s="3">
        <v>293850</v>
      </c>
      <c r="H30" s="3">
        <v>112831</v>
      </c>
      <c r="M30" s="3">
        <f t="shared" si="0"/>
        <v>811500</v>
      </c>
      <c r="N30" s="3">
        <f t="shared" si="1"/>
        <v>811500</v>
      </c>
      <c r="O30" s="3">
        <f t="shared" si="2"/>
        <v>209988</v>
      </c>
      <c r="Q30" s="3"/>
      <c r="R30" s="3"/>
      <c r="T30" s="3"/>
      <c r="V30" s="5"/>
      <c r="W30" s="5">
        <f t="shared" si="4"/>
        <v>262936.35773248866</v>
      </c>
      <c r="X30" s="5">
        <f t="shared" si="5"/>
        <v>262936.35773248866</v>
      </c>
      <c r="Y30" s="5">
        <f t="shared" si="6"/>
        <v>49350.154946808463</v>
      </c>
      <c r="AB30" s="5">
        <f t="shared" si="7"/>
        <v>254713.64226751149</v>
      </c>
      <c r="AC30" s="5">
        <f t="shared" si="8"/>
        <v>254713.64226751149</v>
      </c>
      <c r="AD30" s="5">
        <f t="shared" si="9"/>
        <v>47806.845053191566</v>
      </c>
      <c r="AG30" s="5">
        <f>'20-Year Acad Revised'!I29+'20-Year Fac Renewal Acad'!I29</f>
        <v>209366.56075607461</v>
      </c>
      <c r="AH30" s="5">
        <f t="shared" si="20"/>
        <v>209366.56075607461</v>
      </c>
      <c r="AI30" s="5">
        <f>'20-Year Acad Revised'!K29+'20-Year Fac Renewal Acad'!K29</f>
        <v>80391.48686972486</v>
      </c>
      <c r="AK30" s="3"/>
      <c r="AL30" s="3">
        <f t="shared" si="10"/>
        <v>84483.439243925459</v>
      </c>
      <c r="AM30" s="5">
        <f t="shared" si="11"/>
        <v>84483.439243925459</v>
      </c>
      <c r="AN30" s="3">
        <f t="shared" si="10"/>
        <v>32439.513130275147</v>
      </c>
      <c r="AO30" s="5"/>
      <c r="AP30" s="5"/>
      <c r="AQ30" s="5">
        <f t="shared" si="12"/>
        <v>57.762156004811409</v>
      </c>
      <c r="AR30" s="5">
        <f t="shared" si="21"/>
        <v>57.762156004811409</v>
      </c>
      <c r="AS30" s="5">
        <f t="shared" si="22"/>
        <v>22.179213286298708</v>
      </c>
      <c r="AV30" s="5">
        <f t="shared" si="13"/>
        <v>2698.4406404598349</v>
      </c>
      <c r="AW30" s="5">
        <f t="shared" si="23"/>
        <v>2698.4406404598349</v>
      </c>
      <c r="AX30" s="5">
        <f t="shared" si="24"/>
        <v>1036.1332513313719</v>
      </c>
      <c r="AZ30" s="5"/>
      <c r="BA30" s="5"/>
      <c r="BB30" s="5"/>
      <c r="BC30" s="5"/>
      <c r="BD30" s="5"/>
      <c r="BF30" s="5">
        <f t="shared" si="14"/>
        <v>897.72877355085063</v>
      </c>
      <c r="BG30" s="5">
        <f t="shared" si="25"/>
        <v>897.72877355085063</v>
      </c>
      <c r="BH30" s="5">
        <f t="shared" si="26"/>
        <v>344.70524161482399</v>
      </c>
      <c r="BK30" s="5">
        <f t="shared" si="15"/>
        <v>62497.564722574039</v>
      </c>
      <c r="BL30" s="5">
        <f t="shared" si="27"/>
        <v>62497.564722574039</v>
      </c>
      <c r="BM30" s="5">
        <f t="shared" si="28"/>
        <v>23997.490982517447</v>
      </c>
      <c r="BP30" s="5">
        <f t="shared" si="16"/>
        <v>16553.58000971119</v>
      </c>
      <c r="BQ30" s="5">
        <f t="shared" si="29"/>
        <v>16553.58000971119</v>
      </c>
      <c r="BR30" s="5">
        <f t="shared" si="30"/>
        <v>6356.1578563066987</v>
      </c>
      <c r="BU30" s="5">
        <f t="shared" si="17"/>
        <v>400.82245463225149</v>
      </c>
      <c r="BV30" s="5">
        <f t="shared" si="31"/>
        <v>400.82245463225149</v>
      </c>
      <c r="BW30" s="5">
        <f t="shared" si="32"/>
        <v>153.90572870039668</v>
      </c>
      <c r="CB30" s="5"/>
      <c r="CC30" s="5"/>
      <c r="CE30" s="5">
        <f t="shared" si="18"/>
        <v>1377.5404869924741</v>
      </c>
      <c r="CF30" s="5">
        <f t="shared" si="19"/>
        <v>1377.5404869924741</v>
      </c>
      <c r="CG30" s="5">
        <f t="shared" si="33"/>
        <v>528.94085651811417</v>
      </c>
      <c r="CL30" s="5">
        <f t="shared" si="34"/>
        <v>0</v>
      </c>
    </row>
    <row r="31" spans="1:90" ht="12" customHeight="1" x14ac:dyDescent="0.25">
      <c r="A31" s="29">
        <v>12510</v>
      </c>
      <c r="C31" s="3">
        <v>1435000</v>
      </c>
      <c r="D31" s="3">
        <v>517650</v>
      </c>
      <c r="E31" s="3">
        <v>97157</v>
      </c>
      <c r="F31" s="3">
        <v>1930000</v>
      </c>
      <c r="G31" s="3">
        <v>293850</v>
      </c>
      <c r="H31" s="3">
        <v>112831</v>
      </c>
      <c r="L31" s="3">
        <f>C31+F31+I31</f>
        <v>3365000</v>
      </c>
      <c r="M31" s="3">
        <f t="shared" si="0"/>
        <v>811500</v>
      </c>
      <c r="N31" s="3">
        <f t="shared" si="1"/>
        <v>4176500</v>
      </c>
      <c r="O31" s="3">
        <f t="shared" si="2"/>
        <v>209988</v>
      </c>
      <c r="Q31" s="3"/>
      <c r="R31" s="3"/>
      <c r="T31" s="3"/>
      <c r="V31" s="5">
        <f>C31*$V$8</f>
        <v>728897.27295686514</v>
      </c>
      <c r="W31" s="5">
        <f t="shared" si="4"/>
        <v>262936.35773248866</v>
      </c>
      <c r="X31" s="5">
        <f t="shared" si="5"/>
        <v>991833.6306893538</v>
      </c>
      <c r="Y31" s="5">
        <f t="shared" si="6"/>
        <v>49350.154946808463</v>
      </c>
      <c r="AA31" s="5">
        <f>C31*$AA$8</f>
        <v>706102.72704313532</v>
      </c>
      <c r="AB31" s="5">
        <f t="shared" si="7"/>
        <v>254713.64226751149</v>
      </c>
      <c r="AC31" s="5">
        <f t="shared" si="8"/>
        <v>960816.36931064678</v>
      </c>
      <c r="AD31" s="5">
        <f t="shared" si="9"/>
        <v>47806.845053191566</v>
      </c>
      <c r="AF31" s="5">
        <f>'20-Year Acad Revised'!H30+'20-Year Fac Renewal Acad'!H30</f>
        <v>1375114.7260820961</v>
      </c>
      <c r="AG31" s="5">
        <f>'20-Year Acad Revised'!I30+'20-Year Fac Renewal Acad'!I30</f>
        <v>209366.56075607461</v>
      </c>
      <c r="AH31" s="5">
        <f t="shared" si="20"/>
        <v>1584481.2868381706</v>
      </c>
      <c r="AI31" s="5">
        <f>'20-Year Acad Revised'!K30+'20-Year Fac Renewal Acad'!K30</f>
        <v>80391.48686972486</v>
      </c>
      <c r="AK31" s="3">
        <f>+AZ31+CD31+BE31+BJ31+BO31+BT31+AP31+AU31</f>
        <v>554885.27391790412</v>
      </c>
      <c r="AL31" s="3">
        <f t="shared" si="10"/>
        <v>84483.439243925459</v>
      </c>
      <c r="AM31" s="5">
        <f t="shared" si="11"/>
        <v>639368.71316182963</v>
      </c>
      <c r="AN31" s="3">
        <f t="shared" si="10"/>
        <v>32439.513130275147</v>
      </c>
      <c r="AO31" s="5"/>
      <c r="AP31" s="5">
        <f>F31*$AQ$8</f>
        <v>379.38050396217801</v>
      </c>
      <c r="AQ31" s="5">
        <f t="shared" si="12"/>
        <v>57.762156004811409</v>
      </c>
      <c r="AR31" s="5">
        <f t="shared" si="21"/>
        <v>437.14265996698941</v>
      </c>
      <c r="AS31" s="5">
        <f t="shared" si="22"/>
        <v>22.179213286298708</v>
      </c>
      <c r="AU31" s="5">
        <f>F31*$AV$8</f>
        <v>17723.295681767846</v>
      </c>
      <c r="AV31" s="5">
        <f t="shared" si="13"/>
        <v>2698.4406404598349</v>
      </c>
      <c r="AW31" s="5">
        <f t="shared" si="23"/>
        <v>20421.73632222768</v>
      </c>
      <c r="AX31" s="5">
        <f t="shared" si="24"/>
        <v>1036.1332513313719</v>
      </c>
      <c r="AZ31" s="5"/>
      <c r="BA31" s="5"/>
      <c r="BB31" s="5"/>
      <c r="BC31" s="5"/>
      <c r="BD31" s="5"/>
      <c r="BE31" s="5">
        <f>F31*$BF$8</f>
        <v>5896.2618102880442</v>
      </c>
      <c r="BF31" s="5">
        <f t="shared" si="14"/>
        <v>897.72877355085063</v>
      </c>
      <c r="BG31" s="5">
        <f t="shared" si="25"/>
        <v>6793.990583838895</v>
      </c>
      <c r="BH31" s="5">
        <f t="shared" si="26"/>
        <v>344.70524161482399</v>
      </c>
      <c r="BJ31" s="5">
        <f>F31*$BK$8</f>
        <v>410482.55883807351</v>
      </c>
      <c r="BK31" s="5">
        <f t="shared" si="15"/>
        <v>62497.564722574039</v>
      </c>
      <c r="BL31" s="5">
        <f t="shared" si="27"/>
        <v>472980.12356064754</v>
      </c>
      <c r="BM31" s="5">
        <f t="shared" si="28"/>
        <v>23997.490982517447</v>
      </c>
      <c r="BO31" s="5">
        <f>F31*$BP$8</f>
        <v>108723.53043642198</v>
      </c>
      <c r="BP31" s="5">
        <f t="shared" si="16"/>
        <v>16553.58000971119</v>
      </c>
      <c r="BQ31" s="5">
        <f t="shared" si="29"/>
        <v>125277.11044613317</v>
      </c>
      <c r="BR31" s="5">
        <f t="shared" si="30"/>
        <v>6356.1578563066987</v>
      </c>
      <c r="BT31" s="5">
        <f>F31*$BU$8</f>
        <v>2632.5926065688118</v>
      </c>
      <c r="BU31" s="5">
        <f t="shared" si="17"/>
        <v>400.82245463225149</v>
      </c>
      <c r="BV31" s="5">
        <f t="shared" si="31"/>
        <v>3033.4150612010635</v>
      </c>
      <c r="BW31" s="5">
        <f t="shared" si="32"/>
        <v>153.90572870039668</v>
      </c>
      <c r="CB31" s="5"/>
      <c r="CC31" s="5"/>
      <c r="CD31" s="5">
        <f>F31*$CE$8</f>
        <v>9047.6540408217625</v>
      </c>
      <c r="CE31" s="5">
        <f t="shared" si="18"/>
        <v>1377.5404869924741</v>
      </c>
      <c r="CF31" s="5">
        <f t="shared" si="19"/>
        <v>10425.194527814238</v>
      </c>
      <c r="CG31" s="5">
        <f t="shared" si="33"/>
        <v>528.94085651811417</v>
      </c>
      <c r="CL31" s="5">
        <f t="shared" si="34"/>
        <v>0</v>
      </c>
    </row>
    <row r="32" spans="1:90" ht="12" customHeight="1" x14ac:dyDescent="0.25">
      <c r="A32" s="29">
        <v>12693</v>
      </c>
      <c r="D32" s="3">
        <v>496125</v>
      </c>
      <c r="E32" s="3">
        <v>97157</v>
      </c>
      <c r="G32" s="3">
        <v>264900</v>
      </c>
      <c r="H32" s="3">
        <v>112831</v>
      </c>
      <c r="M32" s="3">
        <f t="shared" si="0"/>
        <v>761025</v>
      </c>
      <c r="N32" s="3">
        <f t="shared" si="1"/>
        <v>761025</v>
      </c>
      <c r="O32" s="3">
        <f t="shared" si="2"/>
        <v>209988</v>
      </c>
      <c r="Q32" s="3"/>
      <c r="R32" s="3"/>
      <c r="T32" s="3"/>
      <c r="V32" s="5"/>
      <c r="W32" s="5">
        <f t="shared" si="4"/>
        <v>252002.8986381357</v>
      </c>
      <c r="X32" s="5">
        <f t="shared" si="5"/>
        <v>252002.8986381357</v>
      </c>
      <c r="Y32" s="5">
        <f t="shared" si="6"/>
        <v>49350.154946808463</v>
      </c>
      <c r="AB32" s="5">
        <f t="shared" si="7"/>
        <v>244122.10136186448</v>
      </c>
      <c r="AC32" s="5">
        <f t="shared" si="8"/>
        <v>244122.10136186448</v>
      </c>
      <c r="AD32" s="5">
        <f t="shared" si="9"/>
        <v>47806.845053191566</v>
      </c>
      <c r="AG32" s="5">
        <f>'20-Year Acad Revised'!I31+'20-Year Fac Renewal Acad'!I31</f>
        <v>188739.83986484318</v>
      </c>
      <c r="AH32" s="5">
        <f t="shared" si="20"/>
        <v>188739.83986484318</v>
      </c>
      <c r="AI32" s="5">
        <f>'20-Year Acad Revised'!K31+'20-Year Fac Renewal Acad'!K31</f>
        <v>80391.48686972486</v>
      </c>
      <c r="AK32" s="3"/>
      <c r="AL32" s="3">
        <f t="shared" si="10"/>
        <v>76160.160135156882</v>
      </c>
      <c r="AM32" s="5">
        <f t="shared" si="11"/>
        <v>76160.160135156882</v>
      </c>
      <c r="AN32" s="3">
        <f t="shared" si="10"/>
        <v>32439.513130275147</v>
      </c>
      <c r="AO32" s="5"/>
      <c r="AP32" s="5"/>
      <c r="AQ32" s="5">
        <f t="shared" si="12"/>
        <v>52.071448445378735</v>
      </c>
      <c r="AR32" s="5">
        <f t="shared" si="21"/>
        <v>52.071448445378735</v>
      </c>
      <c r="AS32" s="5">
        <f t="shared" si="22"/>
        <v>22.179213286298708</v>
      </c>
      <c r="AV32" s="5">
        <f t="shared" si="13"/>
        <v>2432.5912052333169</v>
      </c>
      <c r="AW32" s="5">
        <f t="shared" si="23"/>
        <v>2432.5912052333169</v>
      </c>
      <c r="AX32" s="5">
        <f t="shared" si="24"/>
        <v>1036.1332513313719</v>
      </c>
      <c r="AZ32" s="5"/>
      <c r="BA32" s="5"/>
      <c r="BB32" s="5"/>
      <c r="BC32" s="5"/>
      <c r="BD32" s="5"/>
      <c r="BF32" s="5">
        <f t="shared" si="14"/>
        <v>809.28484639652993</v>
      </c>
      <c r="BG32" s="5">
        <f t="shared" si="25"/>
        <v>809.28484639652993</v>
      </c>
      <c r="BH32" s="5">
        <f t="shared" si="26"/>
        <v>344.70524161482399</v>
      </c>
      <c r="BK32" s="5">
        <f t="shared" si="15"/>
        <v>56340.326340002939</v>
      </c>
      <c r="BL32" s="5">
        <f t="shared" si="27"/>
        <v>56340.326340002939</v>
      </c>
      <c r="BM32" s="5">
        <f t="shared" si="28"/>
        <v>23997.490982517447</v>
      </c>
      <c r="BP32" s="5">
        <f t="shared" si="16"/>
        <v>14922.727053164861</v>
      </c>
      <c r="BQ32" s="5">
        <f t="shared" si="29"/>
        <v>14922.727053164861</v>
      </c>
      <c r="BR32" s="5">
        <f t="shared" si="30"/>
        <v>6356.1578563066987</v>
      </c>
      <c r="BU32" s="5">
        <f t="shared" si="17"/>
        <v>361.33356553371931</v>
      </c>
      <c r="BV32" s="5">
        <f t="shared" si="31"/>
        <v>361.33356553371931</v>
      </c>
      <c r="BW32" s="5">
        <f t="shared" si="32"/>
        <v>153.90572870039668</v>
      </c>
      <c r="CB32" s="5"/>
      <c r="CC32" s="5"/>
      <c r="CE32" s="5">
        <f t="shared" si="18"/>
        <v>1241.8256763801476</v>
      </c>
      <c r="CF32" s="5">
        <f t="shared" si="19"/>
        <v>1241.8256763801476</v>
      </c>
      <c r="CG32" s="5">
        <f t="shared" si="33"/>
        <v>528.94085651811417</v>
      </c>
      <c r="CL32" s="5">
        <f t="shared" si="34"/>
        <v>0</v>
      </c>
    </row>
    <row r="33" spans="1:90" ht="12" customHeight="1" x14ac:dyDescent="0.25">
      <c r="A33" s="29">
        <v>12875</v>
      </c>
      <c r="C33" s="3">
        <v>1475000</v>
      </c>
      <c r="D33" s="3">
        <v>496125</v>
      </c>
      <c r="E33" s="3">
        <v>97157</v>
      </c>
      <c r="F33" s="3">
        <v>1985000</v>
      </c>
      <c r="G33" s="3">
        <v>264900</v>
      </c>
      <c r="H33" s="3">
        <v>112831</v>
      </c>
      <c r="L33" s="3">
        <f>C33+F33+I33</f>
        <v>3460000</v>
      </c>
      <c r="M33" s="3">
        <f t="shared" si="0"/>
        <v>761025</v>
      </c>
      <c r="N33" s="3">
        <f t="shared" si="1"/>
        <v>4221025</v>
      </c>
      <c r="O33" s="3">
        <f t="shared" si="2"/>
        <v>209988</v>
      </c>
      <c r="Q33" s="3"/>
      <c r="R33" s="3"/>
      <c r="T33" s="3"/>
      <c r="V33" s="5">
        <f>C33*$V$8</f>
        <v>749214.96697656868</v>
      </c>
      <c r="W33" s="5">
        <f t="shared" si="4"/>
        <v>252002.8986381357</v>
      </c>
      <c r="X33" s="5">
        <f t="shared" si="5"/>
        <v>1001217.8656147043</v>
      </c>
      <c r="Y33" s="5">
        <f t="shared" si="6"/>
        <v>49350.154946808463</v>
      </c>
      <c r="AA33" s="5">
        <f>C33*$AA$8</f>
        <v>725785.03302343178</v>
      </c>
      <c r="AB33" s="5">
        <f t="shared" si="7"/>
        <v>244122.10136186448</v>
      </c>
      <c r="AC33" s="5">
        <f t="shared" si="8"/>
        <v>969907.13438529626</v>
      </c>
      <c r="AD33" s="5">
        <f t="shared" si="9"/>
        <v>47806.845053191566</v>
      </c>
      <c r="AF33" s="5">
        <f>'20-Year Acad Revised'!H32+'20-Year Fac Renewal Acad'!H32</f>
        <v>1414301.9333020523</v>
      </c>
      <c r="AG33" s="5">
        <f>'20-Year Acad Revised'!I32+'20-Year Fac Renewal Acad'!I32</f>
        <v>188739.83986484318</v>
      </c>
      <c r="AH33" s="5">
        <f t="shared" si="20"/>
        <v>1603041.7731668954</v>
      </c>
      <c r="AI33" s="5">
        <f>'20-Year Acad Revised'!K32+'20-Year Fac Renewal Acad'!K32</f>
        <v>80391.48686972486</v>
      </c>
      <c r="AK33" s="3">
        <f>+AZ33+CD33+BE33+BJ33+BO33+BT33+AP33+AU33</f>
        <v>570698.06669794815</v>
      </c>
      <c r="AL33" s="3">
        <f t="shared" si="10"/>
        <v>76160.160135156882</v>
      </c>
      <c r="AM33" s="5">
        <f t="shared" si="11"/>
        <v>646858.22683310509</v>
      </c>
      <c r="AN33" s="3">
        <f t="shared" si="10"/>
        <v>32439.513130275147</v>
      </c>
      <c r="AO33" s="5"/>
      <c r="AP33" s="5">
        <f>F33*$AQ$8</f>
        <v>390.1918654740536</v>
      </c>
      <c r="AQ33" s="5">
        <f t="shared" si="12"/>
        <v>52.071448445378735</v>
      </c>
      <c r="AR33" s="5">
        <f t="shared" si="21"/>
        <v>442.26331391943233</v>
      </c>
      <c r="AS33" s="5">
        <f t="shared" si="22"/>
        <v>22.179213286298708</v>
      </c>
      <c r="AU33" s="5">
        <f>F33*$AV$8</f>
        <v>18228.363693424442</v>
      </c>
      <c r="AV33" s="5">
        <f t="shared" si="13"/>
        <v>2432.5912052333169</v>
      </c>
      <c r="AW33" s="5">
        <f t="shared" si="23"/>
        <v>20660.954898657757</v>
      </c>
      <c r="AX33" s="5">
        <f t="shared" si="24"/>
        <v>1036.1332513313719</v>
      </c>
      <c r="AZ33" s="5"/>
      <c r="BA33" s="5"/>
      <c r="BB33" s="5"/>
      <c r="BC33" s="5"/>
      <c r="BD33" s="5"/>
      <c r="BE33" s="5">
        <f>F33*$BF$8</f>
        <v>6064.2899965915894</v>
      </c>
      <c r="BF33" s="5">
        <f t="shared" si="14"/>
        <v>809.28484639652993</v>
      </c>
      <c r="BG33" s="5">
        <f t="shared" si="25"/>
        <v>6873.5748429881196</v>
      </c>
      <c r="BH33" s="5">
        <f t="shared" si="26"/>
        <v>344.70524161482399</v>
      </c>
      <c r="BJ33" s="5">
        <f>F33*$BK$8</f>
        <v>422180.24833864038</v>
      </c>
      <c r="BK33" s="5">
        <f t="shared" si="15"/>
        <v>56340.326340002939</v>
      </c>
      <c r="BL33" s="5">
        <f t="shared" si="27"/>
        <v>478520.57467864332</v>
      </c>
      <c r="BM33" s="5">
        <f t="shared" si="28"/>
        <v>23997.490982517447</v>
      </c>
      <c r="BO33" s="5">
        <f>F33*$BP$8</f>
        <v>111821.86938668271</v>
      </c>
      <c r="BP33" s="5">
        <f t="shared" si="16"/>
        <v>14922.727053164861</v>
      </c>
      <c r="BQ33" s="5">
        <f t="shared" si="29"/>
        <v>126744.59643984758</v>
      </c>
      <c r="BR33" s="5">
        <f t="shared" si="30"/>
        <v>6356.1578563066987</v>
      </c>
      <c r="BT33" s="5">
        <f>F33*$BU$8</f>
        <v>2707.6146756679232</v>
      </c>
      <c r="BU33" s="5">
        <f t="shared" si="17"/>
        <v>361.33356553371931</v>
      </c>
      <c r="BV33" s="5">
        <f t="shared" si="31"/>
        <v>3068.9482412016423</v>
      </c>
      <c r="BW33" s="5">
        <f t="shared" si="32"/>
        <v>153.90572870039668</v>
      </c>
      <c r="CB33" s="5"/>
      <c r="CC33" s="5"/>
      <c r="CD33" s="5">
        <f>F33*$CE$8</f>
        <v>9305.4887414669429</v>
      </c>
      <c r="CE33" s="5">
        <f t="shared" si="18"/>
        <v>1241.8256763801476</v>
      </c>
      <c r="CF33" s="5">
        <f t="shared" si="19"/>
        <v>10547.31441784709</v>
      </c>
      <c r="CG33" s="5">
        <f t="shared" si="33"/>
        <v>528.94085651811417</v>
      </c>
      <c r="CL33" s="5">
        <f t="shared" si="34"/>
        <v>0</v>
      </c>
    </row>
    <row r="34" spans="1:90" ht="12" customHeight="1" x14ac:dyDescent="0.25">
      <c r="A34" s="29">
        <v>13058</v>
      </c>
      <c r="D34" s="3">
        <v>474000</v>
      </c>
      <c r="E34" s="3">
        <v>97157</v>
      </c>
      <c r="G34" s="3">
        <v>235125</v>
      </c>
      <c r="H34" s="3">
        <v>112831</v>
      </c>
      <c r="M34" s="3">
        <f t="shared" si="0"/>
        <v>709125</v>
      </c>
      <c r="N34" s="3">
        <f t="shared" si="1"/>
        <v>709125</v>
      </c>
      <c r="O34" s="3">
        <f t="shared" si="2"/>
        <v>209988</v>
      </c>
      <c r="Q34" s="3"/>
      <c r="R34" s="3"/>
      <c r="T34" s="3"/>
      <c r="V34" s="5"/>
      <c r="W34" s="5">
        <f t="shared" si="4"/>
        <v>240764.67413348716</v>
      </c>
      <c r="X34" s="5">
        <f t="shared" si="5"/>
        <v>240764.67413348716</v>
      </c>
      <c r="Y34" s="5">
        <f t="shared" si="6"/>
        <v>49350.154946808463</v>
      </c>
      <c r="AB34" s="5">
        <f t="shared" si="7"/>
        <v>233235.32586651298</v>
      </c>
      <c r="AC34" s="5">
        <f t="shared" si="8"/>
        <v>233235.32586651298</v>
      </c>
      <c r="AD34" s="5">
        <f t="shared" si="9"/>
        <v>47806.845053191566</v>
      </c>
      <c r="AG34" s="5">
        <f>'20-Year Acad Revised'!I33+'20-Year Fac Renewal Acad'!I33</f>
        <v>167525.31086531235</v>
      </c>
      <c r="AH34" s="5">
        <f t="shared" si="20"/>
        <v>167525.31086531235</v>
      </c>
      <c r="AI34" s="5">
        <f>'20-Year Acad Revised'!K33+'20-Year Fac Renewal Acad'!K33</f>
        <v>80391.48686972486</v>
      </c>
      <c r="AK34" s="3"/>
      <c r="AL34" s="3">
        <f t="shared" si="10"/>
        <v>67599.689134687666</v>
      </c>
      <c r="AM34" s="5">
        <f t="shared" si="11"/>
        <v>67599.689134687666</v>
      </c>
      <c r="AN34" s="3">
        <f t="shared" si="10"/>
        <v>32439.513130275147</v>
      </c>
      <c r="AO34" s="5"/>
      <c r="AP34" s="5"/>
      <c r="AQ34" s="5">
        <f t="shared" si="12"/>
        <v>46.21857046326793</v>
      </c>
      <c r="AR34" s="5">
        <f t="shared" si="21"/>
        <v>46.21857046326793</v>
      </c>
      <c r="AS34" s="5">
        <f t="shared" si="22"/>
        <v>22.179213286298708</v>
      </c>
      <c r="AV34" s="5">
        <f t="shared" si="13"/>
        <v>2159.1657498319505</v>
      </c>
      <c r="AW34" s="5">
        <f t="shared" si="23"/>
        <v>2159.1657498319505</v>
      </c>
      <c r="AX34" s="5">
        <f t="shared" si="24"/>
        <v>1036.1332513313719</v>
      </c>
      <c r="AZ34" s="5"/>
      <c r="BA34" s="5"/>
      <c r="BB34" s="5"/>
      <c r="BC34" s="5"/>
      <c r="BD34" s="5"/>
      <c r="BF34" s="5">
        <f t="shared" si="14"/>
        <v>718.32049644765618</v>
      </c>
      <c r="BG34" s="5">
        <f t="shared" si="25"/>
        <v>718.32049644765618</v>
      </c>
      <c r="BH34" s="5">
        <f t="shared" si="26"/>
        <v>344.70524161482399</v>
      </c>
      <c r="BK34" s="5">
        <f t="shared" si="15"/>
        <v>50007.622614923333</v>
      </c>
      <c r="BL34" s="5">
        <f t="shared" si="27"/>
        <v>50007.622614923333</v>
      </c>
      <c r="BM34" s="5">
        <f t="shared" si="28"/>
        <v>23997.490982517447</v>
      </c>
      <c r="BP34" s="5">
        <f t="shared" si="16"/>
        <v>13245.39901236462</v>
      </c>
      <c r="BQ34" s="5">
        <f t="shared" si="29"/>
        <v>13245.39901236462</v>
      </c>
      <c r="BR34" s="5">
        <f t="shared" si="30"/>
        <v>6356.1578563066987</v>
      </c>
      <c r="BU34" s="5">
        <f t="shared" si="17"/>
        <v>320.71934539870045</v>
      </c>
      <c r="BV34" s="5">
        <f t="shared" si="31"/>
        <v>320.71934539870045</v>
      </c>
      <c r="BW34" s="5">
        <f t="shared" si="32"/>
        <v>153.90572870039668</v>
      </c>
      <c r="CB34" s="5"/>
      <c r="CC34" s="5"/>
      <c r="CE34" s="5">
        <f t="shared" si="18"/>
        <v>1102.2433452581436</v>
      </c>
      <c r="CF34" s="5">
        <f t="shared" si="19"/>
        <v>1102.2433452581436</v>
      </c>
      <c r="CG34" s="5">
        <f t="shared" si="33"/>
        <v>528.94085651811417</v>
      </c>
      <c r="CL34" s="5">
        <f t="shared" si="34"/>
        <v>0</v>
      </c>
    </row>
    <row r="35" spans="1:90" ht="12" customHeight="1" x14ac:dyDescent="0.25">
      <c r="A35" s="29">
        <v>13241</v>
      </c>
      <c r="C35" s="3">
        <v>1520000</v>
      </c>
      <c r="D35" s="3">
        <v>474000</v>
      </c>
      <c r="E35" s="3">
        <v>97157</v>
      </c>
      <c r="F35" s="3">
        <v>2045000</v>
      </c>
      <c r="G35" s="3">
        <v>235125</v>
      </c>
      <c r="H35" s="3">
        <v>112831</v>
      </c>
      <c r="L35" s="3">
        <f>C35+F35+I35</f>
        <v>3565000</v>
      </c>
      <c r="M35" s="3">
        <f t="shared" si="0"/>
        <v>709125</v>
      </c>
      <c r="N35" s="3">
        <f t="shared" si="1"/>
        <v>4274125</v>
      </c>
      <c r="O35" s="3">
        <f t="shared" si="2"/>
        <v>209988</v>
      </c>
      <c r="Q35" s="3"/>
      <c r="R35" s="3"/>
      <c r="T35" s="3"/>
      <c r="V35" s="5">
        <f>C35*$V$8</f>
        <v>772072.37274873524</v>
      </c>
      <c r="W35" s="5">
        <f t="shared" si="4"/>
        <v>240764.67413348716</v>
      </c>
      <c r="X35" s="5">
        <f t="shared" si="5"/>
        <v>1012837.0468822224</v>
      </c>
      <c r="Y35" s="5">
        <f t="shared" si="6"/>
        <v>49350.154946808463</v>
      </c>
      <c r="AA35" s="5">
        <f>C35*$AA$8</f>
        <v>747927.62725126534</v>
      </c>
      <c r="AB35" s="5">
        <f t="shared" si="7"/>
        <v>233235.32586651298</v>
      </c>
      <c r="AC35" s="5">
        <f t="shared" si="8"/>
        <v>981162.95311777829</v>
      </c>
      <c r="AD35" s="5">
        <f t="shared" si="9"/>
        <v>47806.845053191566</v>
      </c>
      <c r="AF35" s="5">
        <f>'20-Year Acad Revised'!H34+'20-Year Fac Renewal Acad'!H34</f>
        <v>1457051.6139056406</v>
      </c>
      <c r="AG35" s="5">
        <f>'20-Year Acad Revised'!I34+'20-Year Fac Renewal Acad'!I34</f>
        <v>167525.31086531235</v>
      </c>
      <c r="AH35" s="5">
        <f t="shared" si="20"/>
        <v>1624576.9247709529</v>
      </c>
      <c r="AI35" s="5">
        <f>'20-Year Acad Revised'!K34+'20-Year Fac Renewal Acad'!K34</f>
        <v>80391.48686972486</v>
      </c>
      <c r="AK35" s="3">
        <f>+AZ35+CD35+BE35+BJ35+BO35+BT35+AP35+AU35</f>
        <v>587948.38609435945</v>
      </c>
      <c r="AL35" s="3">
        <f t="shared" si="10"/>
        <v>67599.689134687666</v>
      </c>
      <c r="AM35" s="5">
        <f t="shared" si="11"/>
        <v>655548.0752290471</v>
      </c>
      <c r="AN35" s="3">
        <f t="shared" si="10"/>
        <v>32439.513130275147</v>
      </c>
      <c r="AO35" s="5"/>
      <c r="AP35" s="5">
        <f>F35*$AQ$8</f>
        <v>401.98607803246324</v>
      </c>
      <c r="AQ35" s="5">
        <f t="shared" si="12"/>
        <v>46.21857046326793</v>
      </c>
      <c r="AR35" s="5">
        <f t="shared" si="21"/>
        <v>448.20464849573119</v>
      </c>
      <c r="AS35" s="5">
        <f t="shared" si="22"/>
        <v>22.179213286298708</v>
      </c>
      <c r="AU35" s="5">
        <f>F35*$AV$8</f>
        <v>18779.346978868001</v>
      </c>
      <c r="AV35" s="5">
        <f t="shared" si="13"/>
        <v>2159.1657498319505</v>
      </c>
      <c r="AW35" s="5">
        <f t="shared" si="23"/>
        <v>20938.512728699952</v>
      </c>
      <c r="AX35" s="5">
        <f t="shared" si="24"/>
        <v>1036.1332513313719</v>
      </c>
      <c r="AZ35" s="5"/>
      <c r="BA35" s="5"/>
      <c r="BB35" s="5"/>
      <c r="BC35" s="5"/>
      <c r="BD35" s="5"/>
      <c r="BE35" s="5">
        <f>F35*$BF$8</f>
        <v>6247.5934725590932</v>
      </c>
      <c r="BF35" s="5">
        <f t="shared" si="14"/>
        <v>718.32049644765618</v>
      </c>
      <c r="BG35" s="5">
        <f t="shared" si="25"/>
        <v>6965.9139690067495</v>
      </c>
      <c r="BH35" s="5">
        <f t="shared" si="26"/>
        <v>344.70524161482399</v>
      </c>
      <c r="BJ35" s="5">
        <f>F35*$BK$8</f>
        <v>434941.36415744055</v>
      </c>
      <c r="BK35" s="5">
        <f t="shared" si="15"/>
        <v>50007.622614923333</v>
      </c>
      <c r="BL35" s="5">
        <f t="shared" si="27"/>
        <v>484948.98677236389</v>
      </c>
      <c r="BM35" s="5">
        <f t="shared" si="28"/>
        <v>23997.490982517447</v>
      </c>
      <c r="BO35" s="5">
        <f>F35*$BP$8</f>
        <v>115201.87551423987</v>
      </c>
      <c r="BP35" s="5">
        <f t="shared" si="16"/>
        <v>13245.39901236462</v>
      </c>
      <c r="BQ35" s="5">
        <f t="shared" si="29"/>
        <v>128447.27452660449</v>
      </c>
      <c r="BR35" s="5">
        <f t="shared" si="30"/>
        <v>6356.1578563066987</v>
      </c>
      <c r="BT35" s="5">
        <f>F35*$BU$8</f>
        <v>2789.4569328669536</v>
      </c>
      <c r="BU35" s="5">
        <f t="shared" si="17"/>
        <v>320.71934539870045</v>
      </c>
      <c r="BV35" s="5">
        <f t="shared" si="31"/>
        <v>3110.1762782656542</v>
      </c>
      <c r="BW35" s="5">
        <f t="shared" si="32"/>
        <v>153.90572870039668</v>
      </c>
      <c r="CB35" s="5"/>
      <c r="CC35" s="5"/>
      <c r="CD35" s="5">
        <f>F35*$CE$8</f>
        <v>9586.7629603525929</v>
      </c>
      <c r="CE35" s="5">
        <f t="shared" si="18"/>
        <v>1102.2433452581436</v>
      </c>
      <c r="CF35" s="5">
        <f t="shared" si="19"/>
        <v>10689.006305610736</v>
      </c>
      <c r="CG35" s="5">
        <f t="shared" si="33"/>
        <v>528.94085651811417</v>
      </c>
      <c r="CL35" s="5">
        <f t="shared" si="34"/>
        <v>0</v>
      </c>
    </row>
    <row r="36" spans="1:90" ht="12" customHeight="1" x14ac:dyDescent="0.25">
      <c r="A36" s="29">
        <v>13424</v>
      </c>
      <c r="D36" s="3">
        <v>451200</v>
      </c>
      <c r="E36" s="3">
        <v>97157</v>
      </c>
      <c r="G36" s="3">
        <v>204450</v>
      </c>
      <c r="H36" s="3">
        <v>112831</v>
      </c>
      <c r="M36" s="3">
        <f t="shared" si="0"/>
        <v>655650</v>
      </c>
      <c r="N36" s="3">
        <f t="shared" si="1"/>
        <v>655650</v>
      </c>
      <c r="O36" s="3">
        <f t="shared" si="2"/>
        <v>209988</v>
      </c>
      <c r="Q36" s="3"/>
      <c r="R36" s="3"/>
      <c r="T36" s="3"/>
      <c r="V36" s="5"/>
      <c r="W36" s="5">
        <f t="shared" si="4"/>
        <v>229183.58854225613</v>
      </c>
      <c r="X36" s="5">
        <f t="shared" si="5"/>
        <v>229183.58854225613</v>
      </c>
      <c r="Y36" s="5">
        <f t="shared" si="6"/>
        <v>49350.154946808463</v>
      </c>
      <c r="AB36" s="5">
        <f t="shared" si="7"/>
        <v>222016.41145774402</v>
      </c>
      <c r="AC36" s="5">
        <f t="shared" si="8"/>
        <v>222016.41145774402</v>
      </c>
      <c r="AD36" s="5">
        <f t="shared" si="9"/>
        <v>47806.845053191566</v>
      </c>
      <c r="AG36" s="5">
        <f>'20-Year Acad Revised'!I35+'20-Year Fac Renewal Acad'!I35</f>
        <v>145669.53665672772</v>
      </c>
      <c r="AH36" s="5">
        <f t="shared" si="20"/>
        <v>145669.53665672772</v>
      </c>
      <c r="AI36" s="5">
        <f>'20-Year Acad Revised'!K35+'20-Year Fac Renewal Acad'!K35</f>
        <v>80391.48686972486</v>
      </c>
      <c r="AK36" s="3"/>
      <c r="AL36" s="3">
        <f t="shared" si="10"/>
        <v>58780.463343272284</v>
      </c>
      <c r="AM36" s="5">
        <f t="shared" si="11"/>
        <v>58780.463343272284</v>
      </c>
      <c r="AN36" s="3">
        <f t="shared" si="10"/>
        <v>32439.513130275147</v>
      </c>
      <c r="AO36" s="5"/>
      <c r="AP36" s="5"/>
      <c r="AQ36" s="5">
        <f t="shared" si="12"/>
        <v>40.188779292780985</v>
      </c>
      <c r="AR36" s="5">
        <f t="shared" si="21"/>
        <v>40.188779292780985</v>
      </c>
      <c r="AS36" s="5">
        <f t="shared" si="22"/>
        <v>22.179213286298708</v>
      </c>
      <c r="AV36" s="5">
        <f t="shared" si="13"/>
        <v>1877.4755451489305</v>
      </c>
      <c r="AW36" s="5">
        <f t="shared" si="23"/>
        <v>1877.4755451489305</v>
      </c>
      <c r="AX36" s="5">
        <f t="shared" si="24"/>
        <v>1036.1332513313719</v>
      </c>
      <c r="AZ36" s="5"/>
      <c r="BA36" s="5"/>
      <c r="BB36" s="5"/>
      <c r="BC36" s="5"/>
      <c r="BD36" s="5"/>
      <c r="BF36" s="5">
        <f t="shared" si="14"/>
        <v>624.60659435926971</v>
      </c>
      <c r="BG36" s="5">
        <f t="shared" si="25"/>
        <v>624.60659435926971</v>
      </c>
      <c r="BH36" s="5">
        <f t="shared" si="26"/>
        <v>344.70524161482399</v>
      </c>
      <c r="BK36" s="5">
        <f t="shared" si="15"/>
        <v>43483.502152561719</v>
      </c>
      <c r="BL36" s="5">
        <f t="shared" si="27"/>
        <v>43483.502152561719</v>
      </c>
      <c r="BM36" s="5">
        <f t="shared" si="28"/>
        <v>23997.490982517447</v>
      </c>
      <c r="BP36" s="5">
        <f t="shared" si="16"/>
        <v>11517.370879651022</v>
      </c>
      <c r="BQ36" s="5">
        <f t="shared" si="29"/>
        <v>11517.370879651022</v>
      </c>
      <c r="BR36" s="5">
        <f t="shared" si="30"/>
        <v>6356.1578563066987</v>
      </c>
      <c r="BU36" s="5">
        <f t="shared" si="17"/>
        <v>278.87749140569616</v>
      </c>
      <c r="BV36" s="5">
        <f t="shared" si="31"/>
        <v>278.87749140569616</v>
      </c>
      <c r="BW36" s="5">
        <f t="shared" si="32"/>
        <v>153.90572870039668</v>
      </c>
      <c r="CB36" s="5"/>
      <c r="CC36" s="5"/>
      <c r="CE36" s="5">
        <f t="shared" si="18"/>
        <v>958.44190085285459</v>
      </c>
      <c r="CF36" s="5">
        <f t="shared" si="19"/>
        <v>958.44190085285459</v>
      </c>
      <c r="CG36" s="5">
        <f t="shared" si="33"/>
        <v>528.94085651811417</v>
      </c>
      <c r="CL36" s="5">
        <f t="shared" si="34"/>
        <v>0</v>
      </c>
    </row>
    <row r="37" spans="1:90" ht="12" customHeight="1" x14ac:dyDescent="0.25">
      <c r="A37" s="29">
        <v>13606</v>
      </c>
      <c r="C37" s="3">
        <v>1565000</v>
      </c>
      <c r="D37" s="3">
        <v>451200</v>
      </c>
      <c r="E37" s="3">
        <v>97157</v>
      </c>
      <c r="F37" s="3">
        <v>2105000</v>
      </c>
      <c r="G37" s="3">
        <v>204450</v>
      </c>
      <c r="H37" s="3">
        <v>112831</v>
      </c>
      <c r="L37" s="3">
        <f>C37+F37+I37</f>
        <v>3670000</v>
      </c>
      <c r="M37" s="3">
        <f t="shared" si="0"/>
        <v>655650</v>
      </c>
      <c r="N37" s="3">
        <f t="shared" si="1"/>
        <v>4325650</v>
      </c>
      <c r="O37" s="3">
        <f t="shared" si="2"/>
        <v>209988</v>
      </c>
      <c r="Q37" s="3"/>
      <c r="R37" s="3"/>
      <c r="T37" s="3"/>
      <c r="V37" s="5">
        <f>C37*$V$8</f>
        <v>794929.77852090169</v>
      </c>
      <c r="W37" s="5">
        <f t="shared" si="4"/>
        <v>229183.58854225613</v>
      </c>
      <c r="X37" s="5">
        <f t="shared" si="5"/>
        <v>1024113.3670631578</v>
      </c>
      <c r="Y37" s="5">
        <f t="shared" si="6"/>
        <v>49350.154946808463</v>
      </c>
      <c r="AA37" s="5">
        <f>C37*$AA$8</f>
        <v>770070.22147909878</v>
      </c>
      <c r="AB37" s="5">
        <f t="shared" si="7"/>
        <v>222016.41145774402</v>
      </c>
      <c r="AC37" s="5">
        <f t="shared" si="8"/>
        <v>992086.63293684274</v>
      </c>
      <c r="AD37" s="5">
        <f t="shared" si="9"/>
        <v>47806.845053191566</v>
      </c>
      <c r="AF37" s="5">
        <f>'20-Year Acad Revised'!H36+'20-Year Fac Renewal Acad'!H36</f>
        <v>1499801.294509229</v>
      </c>
      <c r="AG37" s="5">
        <f>'20-Year Acad Revised'!I36+'20-Year Fac Renewal Acad'!I36</f>
        <v>145669.53665672772</v>
      </c>
      <c r="AH37" s="5">
        <f t="shared" si="20"/>
        <v>1645470.8311659568</v>
      </c>
      <c r="AI37" s="5">
        <f>'20-Year Acad Revised'!K36+'20-Year Fac Renewal Acad'!K36</f>
        <v>80391.48686972486</v>
      </c>
      <c r="AK37" s="3">
        <f>+AZ37+CD37+BE37+BJ37+BO37+BT37+AP37+AU37</f>
        <v>605198.70549077087</v>
      </c>
      <c r="AL37" s="3">
        <f t="shared" si="10"/>
        <v>58780.463343272284</v>
      </c>
      <c r="AM37" s="5">
        <f t="shared" si="11"/>
        <v>663979.1688340432</v>
      </c>
      <c r="AN37" s="3">
        <f t="shared" si="10"/>
        <v>32439.513130275147</v>
      </c>
      <c r="AO37" s="5"/>
      <c r="AP37" s="5">
        <f>F37*$AQ$8</f>
        <v>413.78029059087294</v>
      </c>
      <c r="AQ37" s="5">
        <f t="shared" si="12"/>
        <v>40.188779292780985</v>
      </c>
      <c r="AR37" s="5">
        <f t="shared" si="21"/>
        <v>453.9690698836539</v>
      </c>
      <c r="AS37" s="5">
        <f t="shared" si="22"/>
        <v>22.179213286298708</v>
      </c>
      <c r="AU37" s="5">
        <f>F37*$AV$8</f>
        <v>19330.33026431156</v>
      </c>
      <c r="AV37" s="5">
        <f t="shared" si="13"/>
        <v>1877.4755451489305</v>
      </c>
      <c r="AW37" s="5">
        <f t="shared" si="23"/>
        <v>21207.805809460489</v>
      </c>
      <c r="AX37" s="5">
        <f t="shared" si="24"/>
        <v>1036.1332513313719</v>
      </c>
      <c r="AZ37" s="5"/>
      <c r="BA37" s="5"/>
      <c r="BB37" s="5"/>
      <c r="BC37" s="5"/>
      <c r="BD37" s="5"/>
      <c r="BE37" s="5">
        <f>F37*$BF$8</f>
        <v>6430.896948526597</v>
      </c>
      <c r="BF37" s="5">
        <f t="shared" si="14"/>
        <v>624.60659435926971</v>
      </c>
      <c r="BG37" s="5">
        <f t="shared" si="25"/>
        <v>7055.5035428858664</v>
      </c>
      <c r="BH37" s="5">
        <f t="shared" si="26"/>
        <v>344.70524161482399</v>
      </c>
      <c r="BJ37" s="5">
        <f>F37*$BK$8</f>
        <v>447702.47997624078</v>
      </c>
      <c r="BK37" s="5">
        <f t="shared" si="15"/>
        <v>43483.502152561719</v>
      </c>
      <c r="BL37" s="5">
        <f t="shared" si="27"/>
        <v>491185.98212880251</v>
      </c>
      <c r="BM37" s="5">
        <f t="shared" si="28"/>
        <v>23997.490982517447</v>
      </c>
      <c r="BO37" s="5">
        <f>F37*$BP$8</f>
        <v>118581.88164179702</v>
      </c>
      <c r="BP37" s="5">
        <f t="shared" si="16"/>
        <v>11517.370879651022</v>
      </c>
      <c r="BQ37" s="5">
        <f t="shared" si="29"/>
        <v>130099.25252144804</v>
      </c>
      <c r="BR37" s="5">
        <f t="shared" si="30"/>
        <v>6356.1578563066987</v>
      </c>
      <c r="BT37" s="5">
        <f>F37*$BU$8</f>
        <v>2871.299190065984</v>
      </c>
      <c r="BU37" s="5">
        <f t="shared" si="17"/>
        <v>278.87749140569616</v>
      </c>
      <c r="BV37" s="5">
        <f t="shared" si="31"/>
        <v>3150.1766814716802</v>
      </c>
      <c r="BW37" s="5">
        <f t="shared" si="32"/>
        <v>153.90572870039668</v>
      </c>
      <c r="CB37" s="5"/>
      <c r="CC37" s="5"/>
      <c r="CD37" s="5">
        <f>F37*$CE$8</f>
        <v>9868.037179238243</v>
      </c>
      <c r="CE37" s="5">
        <f t="shared" si="18"/>
        <v>958.44190085285459</v>
      </c>
      <c r="CF37" s="5">
        <f t="shared" si="19"/>
        <v>10826.479080091098</v>
      </c>
      <c r="CG37" s="5">
        <f t="shared" si="33"/>
        <v>528.94085651811417</v>
      </c>
      <c r="CL37" s="5">
        <f t="shared" si="34"/>
        <v>0</v>
      </c>
    </row>
    <row r="38" spans="1:90" ht="12" customHeight="1" x14ac:dyDescent="0.25">
      <c r="A38" s="29">
        <v>13789</v>
      </c>
      <c r="D38" s="3">
        <v>427725</v>
      </c>
      <c r="E38" s="3">
        <v>97157</v>
      </c>
      <c r="G38" s="3">
        <v>172875</v>
      </c>
      <c r="H38" s="3">
        <v>112831</v>
      </c>
      <c r="M38" s="3">
        <f t="shared" si="0"/>
        <v>600600</v>
      </c>
      <c r="N38" s="3">
        <f t="shared" si="1"/>
        <v>600600</v>
      </c>
      <c r="O38" s="3">
        <f t="shared" si="2"/>
        <v>209988</v>
      </c>
      <c r="Q38" s="3"/>
      <c r="R38" s="3"/>
      <c r="T38" s="3"/>
      <c r="V38" s="5"/>
      <c r="W38" s="5">
        <f t="shared" si="4"/>
        <v>217259.64186444262</v>
      </c>
      <c r="X38" s="5">
        <f t="shared" si="5"/>
        <v>217259.64186444262</v>
      </c>
      <c r="Y38" s="5">
        <f t="shared" si="6"/>
        <v>49350.154946808463</v>
      </c>
      <c r="AB38" s="5">
        <f t="shared" si="7"/>
        <v>210465.35813555753</v>
      </c>
      <c r="AC38" s="5">
        <f t="shared" si="8"/>
        <v>210465.35813555753</v>
      </c>
      <c r="AD38" s="5">
        <f t="shared" si="9"/>
        <v>47806.845053191566</v>
      </c>
      <c r="AG38" s="5">
        <f>'20-Year Acad Revised'!I37+'20-Year Fac Renewal Acad'!I37</f>
        <v>123172.51723908931</v>
      </c>
      <c r="AH38" s="5">
        <f t="shared" si="20"/>
        <v>123172.51723908931</v>
      </c>
      <c r="AI38" s="5">
        <f>'20-Year Acad Revised'!K37+'20-Year Fac Renewal Acad'!K37</f>
        <v>80391.48686972486</v>
      </c>
      <c r="AK38" s="3"/>
      <c r="AL38" s="3">
        <f t="shared" si="10"/>
        <v>49702.482760910716</v>
      </c>
      <c r="AM38" s="5">
        <f t="shared" si="11"/>
        <v>49702.482760910716</v>
      </c>
      <c r="AN38" s="3">
        <f t="shared" si="10"/>
        <v>32439.513130275147</v>
      </c>
      <c r="AO38" s="5"/>
      <c r="AP38" s="5"/>
      <c r="AQ38" s="5">
        <f t="shared" si="12"/>
        <v>33.982074933917893</v>
      </c>
      <c r="AR38" s="5">
        <f t="shared" si="21"/>
        <v>33.982074933917893</v>
      </c>
      <c r="AS38" s="5">
        <f t="shared" si="22"/>
        <v>22.179213286298708</v>
      </c>
      <c r="AV38" s="5">
        <f t="shared" si="13"/>
        <v>1587.520591184257</v>
      </c>
      <c r="AW38" s="5">
        <f t="shared" si="23"/>
        <v>1587.520591184257</v>
      </c>
      <c r="AX38" s="5">
        <f t="shared" si="24"/>
        <v>1036.1332513313719</v>
      </c>
      <c r="AZ38" s="5"/>
      <c r="BA38" s="5"/>
      <c r="BB38" s="5"/>
      <c r="BC38" s="5"/>
      <c r="BD38" s="5"/>
      <c r="BF38" s="5">
        <f t="shared" si="14"/>
        <v>528.14314013137073</v>
      </c>
      <c r="BG38" s="5">
        <f t="shared" si="25"/>
        <v>528.14314013137073</v>
      </c>
      <c r="BH38" s="5">
        <f t="shared" si="26"/>
        <v>344.70524161482399</v>
      </c>
      <c r="BK38" s="5">
        <f t="shared" si="15"/>
        <v>36767.964952918112</v>
      </c>
      <c r="BL38" s="5">
        <f t="shared" si="27"/>
        <v>36767.964952918112</v>
      </c>
      <c r="BM38" s="5">
        <f t="shared" si="28"/>
        <v>23997.490982517447</v>
      </c>
      <c r="BP38" s="5">
        <f t="shared" si="16"/>
        <v>9738.6426550240667</v>
      </c>
      <c r="BQ38" s="5">
        <f t="shared" si="29"/>
        <v>9738.6426550240667</v>
      </c>
      <c r="BR38" s="5">
        <f t="shared" si="30"/>
        <v>6356.1578563066987</v>
      </c>
      <c r="BU38" s="5">
        <f t="shared" si="17"/>
        <v>235.8080035547064</v>
      </c>
      <c r="BV38" s="5">
        <f t="shared" si="31"/>
        <v>235.8080035547064</v>
      </c>
      <c r="BW38" s="5">
        <f t="shared" si="32"/>
        <v>153.90572870039668</v>
      </c>
      <c r="CB38" s="5"/>
      <c r="CC38" s="5"/>
      <c r="CE38" s="5">
        <f t="shared" si="18"/>
        <v>810.42134316428098</v>
      </c>
      <c r="CF38" s="5">
        <f t="shared" si="19"/>
        <v>810.42134316428098</v>
      </c>
      <c r="CG38" s="5">
        <f t="shared" si="33"/>
        <v>528.94085651811417</v>
      </c>
      <c r="CL38" s="5">
        <f t="shared" si="34"/>
        <v>0</v>
      </c>
    </row>
    <row r="39" spans="1:90" ht="12" customHeight="1" x14ac:dyDescent="0.25">
      <c r="A39" s="29">
        <v>13971</v>
      </c>
      <c r="C39" s="3">
        <v>1615000</v>
      </c>
      <c r="D39" s="3">
        <v>427725</v>
      </c>
      <c r="E39" s="3">
        <v>97157</v>
      </c>
      <c r="F39" s="3">
        <v>2170000</v>
      </c>
      <c r="G39" s="3">
        <v>172875</v>
      </c>
      <c r="H39" s="3">
        <v>112831</v>
      </c>
      <c r="L39" s="3">
        <f>C39+F39+I39</f>
        <v>3785000</v>
      </c>
      <c r="M39" s="3">
        <f t="shared" si="0"/>
        <v>600600</v>
      </c>
      <c r="N39" s="3">
        <f t="shared" si="1"/>
        <v>4385600</v>
      </c>
      <c r="O39" s="3">
        <f t="shared" si="2"/>
        <v>209988</v>
      </c>
      <c r="Q39" s="3"/>
      <c r="R39" s="3"/>
      <c r="T39" s="3"/>
      <c r="V39" s="5">
        <f>C39*$V$8</f>
        <v>820326.89604553115</v>
      </c>
      <c r="W39" s="5">
        <f t="shared" si="4"/>
        <v>217259.64186444262</v>
      </c>
      <c r="X39" s="5">
        <f t="shared" si="5"/>
        <v>1037586.5379099738</v>
      </c>
      <c r="Y39" s="5">
        <f t="shared" si="6"/>
        <v>49350.154946808463</v>
      </c>
      <c r="AA39" s="5">
        <f>C39*$AA$8</f>
        <v>794673.10395446932</v>
      </c>
      <c r="AB39" s="5">
        <f t="shared" si="7"/>
        <v>210465.35813555753</v>
      </c>
      <c r="AC39" s="5">
        <f t="shared" si="8"/>
        <v>1005138.4620900268</v>
      </c>
      <c r="AD39" s="5">
        <f t="shared" si="9"/>
        <v>47806.845053191566</v>
      </c>
      <c r="AF39" s="5">
        <f>'20-Year Acad Revised'!H38+'20-Year Fac Renewal Acad'!H38</f>
        <v>1546113.44849645</v>
      </c>
      <c r="AG39" s="5">
        <f>'20-Year Acad Revised'!I38+'20-Year Fac Renewal Acad'!I38</f>
        <v>123172.51723908931</v>
      </c>
      <c r="AH39" s="5">
        <f t="shared" si="20"/>
        <v>1669285.9657355393</v>
      </c>
      <c r="AI39" s="5">
        <f>'20-Year Acad Revised'!K38+'20-Year Fac Renewal Acad'!K38</f>
        <v>80391.48686972486</v>
      </c>
      <c r="AK39" s="3">
        <f>+AZ39+CD39+BE39+BJ39+BO39+BT39+AP39+AU39</f>
        <v>623886.55150355026</v>
      </c>
      <c r="AL39" s="3">
        <f t="shared" si="10"/>
        <v>49702.482760910716</v>
      </c>
      <c r="AM39" s="5">
        <f t="shared" si="11"/>
        <v>673589.03426446102</v>
      </c>
      <c r="AN39" s="3">
        <f t="shared" si="10"/>
        <v>32439.513130275147</v>
      </c>
      <c r="AO39" s="5"/>
      <c r="AP39" s="5">
        <f>F39*$AQ$8</f>
        <v>426.55735419581674</v>
      </c>
      <c r="AQ39" s="5">
        <f t="shared" si="12"/>
        <v>33.982074933917893</v>
      </c>
      <c r="AR39" s="5">
        <f t="shared" si="21"/>
        <v>460.53942912973463</v>
      </c>
      <c r="AS39" s="5">
        <f t="shared" si="22"/>
        <v>22.179213286298708</v>
      </c>
      <c r="AU39" s="5">
        <f>F39*$AV$8</f>
        <v>19927.228823542086</v>
      </c>
      <c r="AV39" s="5">
        <f t="shared" si="13"/>
        <v>1587.520591184257</v>
      </c>
      <c r="AW39" s="5">
        <f t="shared" si="23"/>
        <v>21514.749414726342</v>
      </c>
      <c r="AX39" s="5">
        <f t="shared" si="24"/>
        <v>1036.1332513313719</v>
      </c>
      <c r="AZ39" s="5"/>
      <c r="BA39" s="5"/>
      <c r="BB39" s="5"/>
      <c r="BC39" s="5"/>
      <c r="BD39" s="5"/>
      <c r="BE39" s="5">
        <f>F39*$BF$8</f>
        <v>6629.4757141580594</v>
      </c>
      <c r="BF39" s="5">
        <f t="shared" si="14"/>
        <v>528.14314013137073</v>
      </c>
      <c r="BG39" s="5">
        <f t="shared" si="25"/>
        <v>7157.6188542894306</v>
      </c>
      <c r="BH39" s="5">
        <f t="shared" si="26"/>
        <v>344.70524161482399</v>
      </c>
      <c r="BJ39" s="5">
        <f>F39*$BK$8</f>
        <v>461527.02211327432</v>
      </c>
      <c r="BK39" s="5">
        <f t="shared" si="15"/>
        <v>36767.964952918112</v>
      </c>
      <c r="BL39" s="5">
        <f t="shared" si="27"/>
        <v>498294.98706619244</v>
      </c>
      <c r="BM39" s="5">
        <f t="shared" si="28"/>
        <v>23997.490982517447</v>
      </c>
      <c r="BO39" s="5">
        <f>F39*$BP$8</f>
        <v>122243.55494665062</v>
      </c>
      <c r="BP39" s="5">
        <f t="shared" si="16"/>
        <v>9738.6426550240667</v>
      </c>
      <c r="BQ39" s="5">
        <f t="shared" si="29"/>
        <v>131982.19760167468</v>
      </c>
      <c r="BR39" s="5">
        <f t="shared" si="30"/>
        <v>6356.1578563066987</v>
      </c>
      <c r="BT39" s="5">
        <f>F39*$BU$8</f>
        <v>2959.9616353649335</v>
      </c>
      <c r="BU39" s="5">
        <f t="shared" si="17"/>
        <v>235.8080035547064</v>
      </c>
      <c r="BV39" s="5">
        <f t="shared" si="31"/>
        <v>3195.7696389196399</v>
      </c>
      <c r="BW39" s="5">
        <f t="shared" si="32"/>
        <v>153.90572870039668</v>
      </c>
      <c r="CB39" s="5"/>
      <c r="CC39" s="5"/>
      <c r="CD39" s="5">
        <f>F39*$CE$8</f>
        <v>10172.750916364364</v>
      </c>
      <c r="CE39" s="5">
        <f t="shared" si="18"/>
        <v>810.42134316428098</v>
      </c>
      <c r="CF39" s="5">
        <f t="shared" si="19"/>
        <v>10983.172259528645</v>
      </c>
      <c r="CG39" s="5">
        <f t="shared" si="33"/>
        <v>528.94085651811417</v>
      </c>
      <c r="CL39" s="5">
        <f t="shared" si="34"/>
        <v>0</v>
      </c>
    </row>
    <row r="40" spans="1:90" ht="12" customHeight="1" x14ac:dyDescent="0.25">
      <c r="A40" s="29">
        <v>14154</v>
      </c>
      <c r="D40" s="3">
        <v>403500</v>
      </c>
      <c r="E40" s="3">
        <v>97157</v>
      </c>
      <c r="G40" s="3">
        <v>140325</v>
      </c>
      <c r="H40" s="3">
        <v>112831</v>
      </c>
      <c r="M40" s="3">
        <f t="shared" ref="M40:M67" si="35">D40+G40+J40</f>
        <v>543825</v>
      </c>
      <c r="N40" s="3">
        <f t="shared" si="1"/>
        <v>543825</v>
      </c>
      <c r="O40" s="3">
        <f t="shared" si="2"/>
        <v>209988</v>
      </c>
      <c r="Q40" s="3"/>
      <c r="R40" s="3"/>
      <c r="T40" s="3"/>
      <c r="V40" s="5"/>
      <c r="W40" s="5">
        <f t="shared" si="4"/>
        <v>204954.73842375964</v>
      </c>
      <c r="X40" s="5">
        <f t="shared" si="5"/>
        <v>204954.73842375964</v>
      </c>
      <c r="Y40" s="5">
        <f t="shared" si="6"/>
        <v>49350.154946808463</v>
      </c>
      <c r="AB40" s="5">
        <f t="shared" si="7"/>
        <v>198545.2615762405</v>
      </c>
      <c r="AC40" s="5">
        <f t="shared" si="8"/>
        <v>198545.2615762405</v>
      </c>
      <c r="AD40" s="5">
        <f t="shared" si="9"/>
        <v>47806.845053191566</v>
      </c>
      <c r="AG40" s="5">
        <f>'20-Year Acad Revised'!I39+'20-Year Fac Renewal Acad'!I39</f>
        <v>99980.815511642562</v>
      </c>
      <c r="AH40" s="5">
        <f t="shared" si="20"/>
        <v>99980.815511642562</v>
      </c>
      <c r="AI40" s="5">
        <f>'20-Year Acad Revised'!K39+'20-Year Fac Renewal Acad'!K39</f>
        <v>80391.48686972486</v>
      </c>
      <c r="AK40" s="3"/>
      <c r="AL40" s="3">
        <f t="shared" si="10"/>
        <v>40344.184488357467</v>
      </c>
      <c r="AM40" s="5">
        <f t="shared" si="11"/>
        <v>40344.184488357467</v>
      </c>
      <c r="AN40" s="3">
        <f t="shared" si="10"/>
        <v>32439.513130275147</v>
      </c>
      <c r="AO40" s="5"/>
      <c r="AP40" s="5"/>
      <c r="AQ40" s="5">
        <f t="shared" si="12"/>
        <v>27.58371462098064</v>
      </c>
      <c r="AR40" s="5">
        <f t="shared" si="21"/>
        <v>27.58371462098064</v>
      </c>
      <c r="AS40" s="5">
        <f t="shared" si="22"/>
        <v>22.179213286298708</v>
      </c>
      <c r="AV40" s="5">
        <f t="shared" si="13"/>
        <v>1288.6121588311257</v>
      </c>
      <c r="AW40" s="5">
        <f t="shared" si="23"/>
        <v>1288.6121588311257</v>
      </c>
      <c r="AX40" s="5">
        <f t="shared" si="24"/>
        <v>1036.1332513313719</v>
      </c>
      <c r="AZ40" s="5"/>
      <c r="BA40" s="5"/>
      <c r="BB40" s="5"/>
      <c r="BC40" s="5"/>
      <c r="BD40" s="5"/>
      <c r="BF40" s="5">
        <f t="shared" si="14"/>
        <v>428.7010044189999</v>
      </c>
      <c r="BG40" s="5">
        <f t="shared" si="25"/>
        <v>428.7010044189999</v>
      </c>
      <c r="BH40" s="5">
        <f t="shared" si="26"/>
        <v>344.70524161482399</v>
      </c>
      <c r="BK40" s="5">
        <f t="shared" si="15"/>
        <v>29845.059621218996</v>
      </c>
      <c r="BL40" s="5">
        <f t="shared" si="27"/>
        <v>29845.059621218996</v>
      </c>
      <c r="BM40" s="5">
        <f t="shared" si="28"/>
        <v>23997.490982517447</v>
      </c>
      <c r="BP40" s="5">
        <f t="shared" si="16"/>
        <v>7904.9893308243081</v>
      </c>
      <c r="BQ40" s="5">
        <f t="shared" si="29"/>
        <v>7904.9893308243081</v>
      </c>
      <c r="BR40" s="5">
        <f t="shared" si="30"/>
        <v>6356.1578563066987</v>
      </c>
      <c r="BU40" s="5">
        <f t="shared" si="17"/>
        <v>191.40857902423238</v>
      </c>
      <c r="BV40" s="5">
        <f t="shared" si="31"/>
        <v>191.40857902423238</v>
      </c>
      <c r="BW40" s="5">
        <f t="shared" si="32"/>
        <v>153.90572870039668</v>
      </c>
      <c r="CB40" s="5"/>
      <c r="CC40" s="5"/>
      <c r="CE40" s="5">
        <f t="shared" si="18"/>
        <v>657.83007941881544</v>
      </c>
      <c r="CF40" s="5">
        <f t="shared" si="19"/>
        <v>657.83007941881544</v>
      </c>
      <c r="CG40" s="5">
        <f t="shared" si="33"/>
        <v>528.94085651811417</v>
      </c>
      <c r="CL40" s="5">
        <f t="shared" si="34"/>
        <v>0</v>
      </c>
    </row>
    <row r="41" spans="1:90" ht="12" customHeight="1" x14ac:dyDescent="0.25">
      <c r="A41" s="29">
        <v>14336</v>
      </c>
      <c r="C41" s="3">
        <v>1665000</v>
      </c>
      <c r="D41" s="3">
        <v>403500</v>
      </c>
      <c r="E41" s="3">
        <v>97157</v>
      </c>
      <c r="F41" s="3">
        <v>2235000</v>
      </c>
      <c r="G41" s="3">
        <v>140325</v>
      </c>
      <c r="H41" s="3">
        <v>112831</v>
      </c>
      <c r="L41" s="3">
        <f>C41+F41+I41</f>
        <v>3900000</v>
      </c>
      <c r="M41" s="3">
        <f t="shared" si="35"/>
        <v>543825</v>
      </c>
      <c r="N41" s="3">
        <f t="shared" si="1"/>
        <v>4443825</v>
      </c>
      <c r="O41" s="3">
        <f t="shared" si="2"/>
        <v>209988</v>
      </c>
      <c r="Q41" s="3"/>
      <c r="R41" s="3"/>
      <c r="T41" s="3"/>
      <c r="V41" s="5">
        <f>C41*$V$8</f>
        <v>845724.01357016061</v>
      </c>
      <c r="W41" s="5">
        <f t="shared" si="4"/>
        <v>204954.73842375964</v>
      </c>
      <c r="X41" s="5">
        <f t="shared" si="5"/>
        <v>1050678.7519939202</v>
      </c>
      <c r="Y41" s="5">
        <f t="shared" si="6"/>
        <v>49350.154946808463</v>
      </c>
      <c r="AA41" s="5">
        <f>C41*$AA$8</f>
        <v>819275.98642983998</v>
      </c>
      <c r="AB41" s="5">
        <f t="shared" si="7"/>
        <v>198545.2615762405</v>
      </c>
      <c r="AC41" s="5">
        <f t="shared" si="8"/>
        <v>1017821.2480060805</v>
      </c>
      <c r="AD41" s="5">
        <f t="shared" si="9"/>
        <v>47806.845053191566</v>
      </c>
      <c r="AF41" s="5">
        <f>'20-Year Acad Revised'!H40+'20-Year Fac Renewal Acad'!H40</f>
        <v>1592425.6024836707</v>
      </c>
      <c r="AG41" s="5">
        <f>'20-Year Acad Revised'!I40+'20-Year Fac Renewal Acad'!I40</f>
        <v>99980.815511642562</v>
      </c>
      <c r="AH41" s="5">
        <f t="shared" si="20"/>
        <v>1692406.4179953132</v>
      </c>
      <c r="AI41" s="5">
        <f>'20-Year Acad Revised'!K40+'20-Year Fac Renewal Acad'!K40</f>
        <v>80391.48686972486</v>
      </c>
      <c r="AK41" s="3">
        <f>+AZ41+CD41+BE41+BJ41+BO41+BT41+AP41+AU41</f>
        <v>642574.39751632942</v>
      </c>
      <c r="AL41" s="3">
        <f t="shared" si="10"/>
        <v>40344.184488357467</v>
      </c>
      <c r="AM41" s="5">
        <f t="shared" si="11"/>
        <v>682918.58200468693</v>
      </c>
      <c r="AN41" s="3">
        <f t="shared" si="10"/>
        <v>32439.513130275147</v>
      </c>
      <c r="AO41" s="5"/>
      <c r="AP41" s="5">
        <f>F41*$AQ$8</f>
        <v>439.33441780076055</v>
      </c>
      <c r="AQ41" s="5">
        <f t="shared" si="12"/>
        <v>27.58371462098064</v>
      </c>
      <c r="AR41" s="5">
        <f t="shared" si="21"/>
        <v>466.91813242174118</v>
      </c>
      <c r="AS41" s="5">
        <f t="shared" si="22"/>
        <v>22.179213286298708</v>
      </c>
      <c r="AU41" s="5">
        <f>F41*$AV$8</f>
        <v>20524.127382772607</v>
      </c>
      <c r="AV41" s="5">
        <f t="shared" si="13"/>
        <v>1288.6121588311257</v>
      </c>
      <c r="AW41" s="5">
        <f t="shared" si="23"/>
        <v>21812.739541603733</v>
      </c>
      <c r="AX41" s="5">
        <f t="shared" si="24"/>
        <v>1036.1332513313719</v>
      </c>
      <c r="AZ41" s="5"/>
      <c r="BA41" s="5"/>
      <c r="BB41" s="5"/>
      <c r="BC41" s="5"/>
      <c r="BD41" s="5"/>
      <c r="BE41" s="5">
        <f>F41*$BF$8</f>
        <v>6828.0544797895227</v>
      </c>
      <c r="BF41" s="5">
        <f t="shared" si="14"/>
        <v>428.7010044189999</v>
      </c>
      <c r="BG41" s="5">
        <f t="shared" si="25"/>
        <v>7256.7554842085228</v>
      </c>
      <c r="BH41" s="5">
        <f t="shared" si="26"/>
        <v>344.70524161482399</v>
      </c>
      <c r="BJ41" s="5">
        <f>F41*$BK$8</f>
        <v>475351.56425030791</v>
      </c>
      <c r="BK41" s="5">
        <f t="shared" si="15"/>
        <v>29845.059621218996</v>
      </c>
      <c r="BL41" s="5">
        <f t="shared" si="27"/>
        <v>505196.62387152691</v>
      </c>
      <c r="BM41" s="5">
        <f t="shared" si="28"/>
        <v>23997.490982517447</v>
      </c>
      <c r="BO41" s="5">
        <f>F41*$BP$8</f>
        <v>125905.2282515042</v>
      </c>
      <c r="BP41" s="5">
        <f t="shared" si="16"/>
        <v>7904.9893308243081</v>
      </c>
      <c r="BQ41" s="5">
        <f t="shared" si="29"/>
        <v>133810.21758232851</v>
      </c>
      <c r="BR41" s="5">
        <f t="shared" si="30"/>
        <v>6356.1578563066987</v>
      </c>
      <c r="BT41" s="5">
        <f>F41*$BU$8</f>
        <v>3048.624080663883</v>
      </c>
      <c r="BU41" s="5">
        <f t="shared" si="17"/>
        <v>191.40857902423238</v>
      </c>
      <c r="BV41" s="5">
        <f t="shared" si="31"/>
        <v>3240.0326596881155</v>
      </c>
      <c r="BW41" s="5">
        <f t="shared" si="32"/>
        <v>153.90572870039668</v>
      </c>
      <c r="CB41" s="5"/>
      <c r="CC41" s="5"/>
      <c r="CD41" s="5">
        <f>F41*$CE$8</f>
        <v>10477.464653490486</v>
      </c>
      <c r="CE41" s="5">
        <f t="shared" si="18"/>
        <v>657.83007941881544</v>
      </c>
      <c r="CF41" s="5">
        <f t="shared" si="19"/>
        <v>11135.294732909302</v>
      </c>
      <c r="CG41" s="5">
        <f t="shared" si="33"/>
        <v>528.94085651811417</v>
      </c>
      <c r="CL41" s="5">
        <f t="shared" si="34"/>
        <v>0</v>
      </c>
    </row>
    <row r="42" spans="1:90" ht="12" customHeight="1" x14ac:dyDescent="0.25">
      <c r="A42" s="29">
        <v>14519</v>
      </c>
      <c r="D42" s="3">
        <v>378525</v>
      </c>
      <c r="E42" s="3">
        <v>97157</v>
      </c>
      <c r="G42" s="3">
        <v>106800</v>
      </c>
      <c r="H42" s="3">
        <v>112831</v>
      </c>
      <c r="M42" s="3">
        <f t="shared" si="35"/>
        <v>485325</v>
      </c>
      <c r="N42" s="3">
        <f t="shared" si="1"/>
        <v>485325</v>
      </c>
      <c r="O42" s="3">
        <f t="shared" si="2"/>
        <v>209988</v>
      </c>
      <c r="Q42" s="3"/>
      <c r="R42" s="3"/>
      <c r="T42" s="3"/>
      <c r="V42" s="5"/>
      <c r="W42" s="5">
        <f t="shared" si="4"/>
        <v>192268.87822020723</v>
      </c>
      <c r="X42" s="5">
        <f t="shared" si="5"/>
        <v>192268.87822020723</v>
      </c>
      <c r="Y42" s="5">
        <f t="shared" si="6"/>
        <v>49350.154946808463</v>
      </c>
      <c r="AB42" s="5">
        <f t="shared" si="7"/>
        <v>186256.12177979288</v>
      </c>
      <c r="AC42" s="5">
        <f t="shared" si="8"/>
        <v>186256.12177979288</v>
      </c>
      <c r="AD42" s="5">
        <f t="shared" si="9"/>
        <v>47806.845053191566</v>
      </c>
      <c r="AG42" s="5">
        <f>'20-Year Acad Revised'!I41+'20-Year Fac Renewal Acad'!I41</f>
        <v>76094.4314743875</v>
      </c>
      <c r="AH42" s="5">
        <f t="shared" si="20"/>
        <v>76094.4314743875</v>
      </c>
      <c r="AI42" s="5">
        <f>'20-Year Acad Revised'!K41+'20-Year Fac Renewal Acad'!K41</f>
        <v>80391.48686972486</v>
      </c>
      <c r="AK42" s="3"/>
      <c r="AL42" s="3">
        <f t="shared" si="10"/>
        <v>30705.568525612522</v>
      </c>
      <c r="AM42" s="5">
        <f t="shared" si="11"/>
        <v>30705.568525612522</v>
      </c>
      <c r="AN42" s="3">
        <f t="shared" si="10"/>
        <v>32439.513130275147</v>
      </c>
      <c r="AO42" s="5"/>
      <c r="AP42" s="5"/>
      <c r="AQ42" s="5">
        <f t="shared" si="12"/>
        <v>20.993698353969229</v>
      </c>
      <c r="AR42" s="5">
        <f t="shared" si="21"/>
        <v>20.993698353969229</v>
      </c>
      <c r="AS42" s="5">
        <f t="shared" si="22"/>
        <v>22.179213286298708</v>
      </c>
      <c r="AV42" s="5">
        <f t="shared" si="13"/>
        <v>980.75024808953663</v>
      </c>
      <c r="AW42" s="5">
        <f t="shared" si="23"/>
        <v>980.75024808953663</v>
      </c>
      <c r="AX42" s="5">
        <f t="shared" si="24"/>
        <v>1036.1332513313719</v>
      </c>
      <c r="AZ42" s="5"/>
      <c r="BA42" s="5"/>
      <c r="BB42" s="5"/>
      <c r="BC42" s="5"/>
      <c r="BD42" s="5"/>
      <c r="BF42" s="5">
        <f t="shared" si="14"/>
        <v>326.28018722215705</v>
      </c>
      <c r="BG42" s="5">
        <f t="shared" si="25"/>
        <v>326.28018722215705</v>
      </c>
      <c r="BH42" s="5">
        <f t="shared" si="26"/>
        <v>344.70524161482399</v>
      </c>
      <c r="BK42" s="5">
        <f t="shared" si="15"/>
        <v>22714.786157464379</v>
      </c>
      <c r="BL42" s="5">
        <f t="shared" si="27"/>
        <v>22714.786157464379</v>
      </c>
      <c r="BM42" s="5">
        <f t="shared" si="28"/>
        <v>23997.490982517447</v>
      </c>
      <c r="BP42" s="5">
        <f t="shared" si="16"/>
        <v>6016.4109070517443</v>
      </c>
      <c r="BQ42" s="5">
        <f t="shared" si="29"/>
        <v>6016.4109070517443</v>
      </c>
      <c r="BR42" s="5">
        <f t="shared" si="30"/>
        <v>6356.1578563066987</v>
      </c>
      <c r="BU42" s="5">
        <f t="shared" si="17"/>
        <v>145.67921781427415</v>
      </c>
      <c r="BV42" s="5">
        <f t="shared" si="31"/>
        <v>145.67921781427415</v>
      </c>
      <c r="BW42" s="5">
        <f t="shared" si="32"/>
        <v>153.90572870039668</v>
      </c>
      <c r="CB42" s="5"/>
      <c r="CC42" s="5"/>
      <c r="CE42" s="5">
        <f t="shared" si="18"/>
        <v>500.66810961645814</v>
      </c>
      <c r="CF42" s="5">
        <f t="shared" si="19"/>
        <v>500.66810961645814</v>
      </c>
      <c r="CG42" s="5">
        <f t="shared" si="33"/>
        <v>528.94085651811417</v>
      </c>
      <c r="CL42" s="5">
        <f t="shared" si="34"/>
        <v>0</v>
      </c>
    </row>
    <row r="43" spans="1:90" ht="12" customHeight="1" x14ac:dyDescent="0.25">
      <c r="A43" s="29">
        <v>14702</v>
      </c>
      <c r="C43" s="3">
        <v>1715000</v>
      </c>
      <c r="D43" s="3">
        <v>378525</v>
      </c>
      <c r="E43" s="3">
        <v>97157</v>
      </c>
      <c r="F43" s="3">
        <v>2305000</v>
      </c>
      <c r="G43" s="3">
        <v>106800</v>
      </c>
      <c r="H43" s="3">
        <v>112831</v>
      </c>
      <c r="L43" s="3">
        <f>C43+F43+I43</f>
        <v>4020000</v>
      </c>
      <c r="M43" s="3">
        <f t="shared" si="35"/>
        <v>485325</v>
      </c>
      <c r="N43" s="3">
        <f t="shared" si="1"/>
        <v>4505325</v>
      </c>
      <c r="O43" s="3">
        <f t="shared" si="2"/>
        <v>209988</v>
      </c>
      <c r="Q43" s="3"/>
      <c r="R43" s="3"/>
      <c r="T43" s="3"/>
      <c r="V43" s="5">
        <f t="shared" ref="V43:V67" si="36">C43*$V$8</f>
        <v>871121.13109479006</v>
      </c>
      <c r="W43" s="5">
        <f t="shared" ref="W43:W67" si="37">D43*$V$8</f>
        <v>192268.87822020723</v>
      </c>
      <c r="X43" s="5">
        <f t="shared" si="5"/>
        <v>1063390.0093149974</v>
      </c>
      <c r="Y43" s="5">
        <f t="shared" si="6"/>
        <v>49350.154946808463</v>
      </c>
      <c r="AA43" s="5">
        <f t="shared" ref="AA43:AA67" si="38">C43*$AA$8</f>
        <v>843878.86890521052</v>
      </c>
      <c r="AB43" s="5">
        <f t="shared" ref="AB43:AB67" si="39">D43*$AA$8</f>
        <v>186256.12177979288</v>
      </c>
      <c r="AC43" s="5">
        <f t="shared" si="8"/>
        <v>1030134.9906850033</v>
      </c>
      <c r="AD43" s="5">
        <f t="shared" si="9"/>
        <v>47806.845053191566</v>
      </c>
      <c r="AF43" s="5">
        <f>'20-Year Acad Revised'!H42+'20-Year Fac Renewal Acad'!H42</f>
        <v>1642300.2298545241</v>
      </c>
      <c r="AG43" s="5">
        <f>'20-Year Acad Revised'!I42+'20-Year Fac Renewal Acad'!I42</f>
        <v>76094.4314743875</v>
      </c>
      <c r="AH43" s="5">
        <f t="shared" si="20"/>
        <v>1718394.6613289115</v>
      </c>
      <c r="AI43" s="5">
        <f>'20-Year Acad Revised'!K42+'20-Year Fac Renewal Acad'!K42</f>
        <v>80391.48686972486</v>
      </c>
      <c r="AK43" s="3">
        <f>+AZ43+CD43+BE43+BJ43+BO43+BT43+AP43+AU43</f>
        <v>662699.77014547621</v>
      </c>
      <c r="AL43" s="3">
        <f t="shared" si="10"/>
        <v>30705.568525612522</v>
      </c>
      <c r="AM43" s="5">
        <f t="shared" si="11"/>
        <v>693405.33867108868</v>
      </c>
      <c r="AN43" s="3">
        <f t="shared" si="10"/>
        <v>32439.513130275147</v>
      </c>
      <c r="AO43" s="5"/>
      <c r="AP43" s="5">
        <f>F43*$AQ$8</f>
        <v>453.09433245223852</v>
      </c>
      <c r="AQ43" s="5">
        <f t="shared" si="12"/>
        <v>20.993698353969229</v>
      </c>
      <c r="AR43" s="5">
        <f t="shared" si="21"/>
        <v>474.08803080620777</v>
      </c>
      <c r="AS43" s="5">
        <f t="shared" si="22"/>
        <v>22.179213286298708</v>
      </c>
      <c r="AU43" s="5">
        <f>F43*$AV$8</f>
        <v>21166.941215790095</v>
      </c>
      <c r="AV43" s="5">
        <f t="shared" si="13"/>
        <v>980.75024808953663</v>
      </c>
      <c r="AW43" s="5">
        <f t="shared" si="23"/>
        <v>22147.691463879633</v>
      </c>
      <c r="AX43" s="5">
        <f t="shared" si="24"/>
        <v>1036.1332513313719</v>
      </c>
      <c r="AZ43" s="5"/>
      <c r="BA43" s="5"/>
      <c r="BB43" s="5"/>
      <c r="BC43" s="5"/>
      <c r="BD43" s="5"/>
      <c r="BE43" s="5">
        <f>F43*$BF$8</f>
        <v>7041.9085350849437</v>
      </c>
      <c r="BF43" s="5">
        <f t="shared" si="14"/>
        <v>326.28018722215705</v>
      </c>
      <c r="BG43" s="5">
        <f t="shared" si="25"/>
        <v>7368.1887223071008</v>
      </c>
      <c r="BH43" s="5">
        <f t="shared" si="26"/>
        <v>344.70524161482399</v>
      </c>
      <c r="BJ43" s="5">
        <f>F43*$BK$8</f>
        <v>490239.53270557482</v>
      </c>
      <c r="BK43" s="5">
        <f t="shared" si="15"/>
        <v>22714.786157464379</v>
      </c>
      <c r="BL43" s="5">
        <f t="shared" si="27"/>
        <v>512954.3188630392</v>
      </c>
      <c r="BM43" s="5">
        <f t="shared" si="28"/>
        <v>23997.490982517447</v>
      </c>
      <c r="BO43" s="5">
        <f>F43*$BP$8</f>
        <v>129848.56873365423</v>
      </c>
      <c r="BP43" s="5">
        <f t="shared" si="16"/>
        <v>6016.4109070517443</v>
      </c>
      <c r="BQ43" s="5">
        <f t="shared" si="29"/>
        <v>135864.97964070598</v>
      </c>
      <c r="BR43" s="5">
        <f t="shared" si="30"/>
        <v>6356.1578563066987</v>
      </c>
      <c r="BT43" s="5">
        <f>F43*$BU$8</f>
        <v>3144.106714062752</v>
      </c>
      <c r="BU43" s="5">
        <f t="shared" si="17"/>
        <v>145.67921781427415</v>
      </c>
      <c r="BV43" s="5">
        <f t="shared" si="31"/>
        <v>3289.7859318770261</v>
      </c>
      <c r="BW43" s="5">
        <f t="shared" si="32"/>
        <v>153.90572870039668</v>
      </c>
      <c r="CB43" s="5"/>
      <c r="CC43" s="5"/>
      <c r="CD43" s="5">
        <f>F43*$CE$8</f>
        <v>10805.617908857079</v>
      </c>
      <c r="CE43" s="5">
        <f t="shared" si="18"/>
        <v>500.66810961645814</v>
      </c>
      <c r="CF43" s="5">
        <f t="shared" si="19"/>
        <v>11306.286018473536</v>
      </c>
      <c r="CG43" s="5">
        <f t="shared" si="33"/>
        <v>528.94085651811417</v>
      </c>
      <c r="CL43" s="5">
        <f t="shared" si="34"/>
        <v>0</v>
      </c>
    </row>
    <row r="44" spans="1:90" ht="12" customHeight="1" x14ac:dyDescent="0.25">
      <c r="A44" s="29">
        <v>14885</v>
      </c>
      <c r="D44" s="3">
        <v>352800</v>
      </c>
      <c r="E44" s="3">
        <v>97157</v>
      </c>
      <c r="G44" s="3">
        <v>72225</v>
      </c>
      <c r="H44" s="3">
        <v>112831</v>
      </c>
      <c r="M44" s="3">
        <f t="shared" si="35"/>
        <v>425025</v>
      </c>
      <c r="N44" s="3">
        <f t="shared" si="1"/>
        <v>425025</v>
      </c>
      <c r="O44" s="3">
        <f t="shared" si="2"/>
        <v>209988</v>
      </c>
      <c r="Q44" s="3"/>
      <c r="R44" s="3"/>
      <c r="T44" s="3"/>
      <c r="V44" s="5"/>
      <c r="W44" s="5">
        <f t="shared" si="37"/>
        <v>179202.06125378539</v>
      </c>
      <c r="X44" s="5">
        <f t="shared" si="5"/>
        <v>179202.06125378539</v>
      </c>
      <c r="Y44" s="5">
        <f t="shared" si="6"/>
        <v>49350.154946808463</v>
      </c>
      <c r="AB44" s="5">
        <f t="shared" si="39"/>
        <v>173597.93874621473</v>
      </c>
      <c r="AC44" s="5">
        <f t="shared" si="8"/>
        <v>173597.93874621473</v>
      </c>
      <c r="AD44" s="5">
        <f t="shared" si="9"/>
        <v>47806.845053191566</v>
      </c>
      <c r="AG44" s="5">
        <f>'20-Year Acad Revised'!I43+'20-Year Fac Renewal Acad'!I43</f>
        <v>51459.928026569629</v>
      </c>
      <c r="AH44" s="5">
        <f t="shared" si="20"/>
        <v>51459.928026569629</v>
      </c>
      <c r="AI44" s="5">
        <f>'20-Year Acad Revised'!K43+'20-Year Fac Renewal Acad'!K43</f>
        <v>80391.48686972486</v>
      </c>
      <c r="AK44" s="3"/>
      <c r="AL44" s="3">
        <f t="shared" si="10"/>
        <v>20765.071973430378</v>
      </c>
      <c r="AM44" s="5">
        <f t="shared" si="11"/>
        <v>20765.071973430378</v>
      </c>
      <c r="AN44" s="3">
        <f t="shared" si="10"/>
        <v>32439.513130275147</v>
      </c>
      <c r="AO44" s="5"/>
      <c r="AP44" s="5"/>
      <c r="AQ44" s="5">
        <f t="shared" si="12"/>
        <v>14.197283367185651</v>
      </c>
      <c r="AR44" s="5">
        <f t="shared" si="21"/>
        <v>14.197283367185651</v>
      </c>
      <c r="AS44" s="5">
        <f t="shared" si="22"/>
        <v>22.179213286298708</v>
      </c>
      <c r="AV44" s="5">
        <f t="shared" si="13"/>
        <v>663.24612985268527</v>
      </c>
      <c r="AW44" s="5">
        <f t="shared" si="23"/>
        <v>663.24612985268527</v>
      </c>
      <c r="AX44" s="5">
        <f t="shared" si="24"/>
        <v>1036.1332513313719</v>
      </c>
      <c r="AZ44" s="5"/>
      <c r="BA44" s="5"/>
      <c r="BB44" s="5"/>
      <c r="BC44" s="5"/>
      <c r="BD44" s="5"/>
      <c r="BF44" s="5">
        <f t="shared" si="14"/>
        <v>220.6515591958829</v>
      </c>
      <c r="BG44" s="5">
        <f t="shared" si="25"/>
        <v>220.6515591958829</v>
      </c>
      <c r="BH44" s="5">
        <f t="shared" si="26"/>
        <v>344.70524161482399</v>
      </c>
      <c r="BK44" s="5">
        <f t="shared" si="15"/>
        <v>15361.193166880756</v>
      </c>
      <c r="BL44" s="5">
        <f t="shared" si="27"/>
        <v>15361.193166880756</v>
      </c>
      <c r="BM44" s="5">
        <f t="shared" si="28"/>
        <v>23997.490982517447</v>
      </c>
      <c r="BP44" s="5">
        <f t="shared" si="16"/>
        <v>4068.6823760469315</v>
      </c>
      <c r="BQ44" s="5">
        <f t="shared" si="29"/>
        <v>4068.6823760469315</v>
      </c>
      <c r="BR44" s="5">
        <f t="shared" si="30"/>
        <v>6356.1578563066987</v>
      </c>
      <c r="BU44" s="5">
        <f t="shared" si="17"/>
        <v>98.517617103332867</v>
      </c>
      <c r="BV44" s="5">
        <f t="shared" si="31"/>
        <v>98.517617103332867</v>
      </c>
      <c r="BW44" s="5">
        <f t="shared" si="32"/>
        <v>153.90572870039668</v>
      </c>
      <c r="CB44" s="5"/>
      <c r="CC44" s="5"/>
      <c r="CE44" s="5">
        <f t="shared" si="18"/>
        <v>338.58384098360199</v>
      </c>
      <c r="CF44" s="5">
        <f t="shared" si="19"/>
        <v>338.58384098360199</v>
      </c>
      <c r="CG44" s="5">
        <f t="shared" si="33"/>
        <v>528.94085651811417</v>
      </c>
      <c r="CL44" s="5">
        <f t="shared" si="34"/>
        <v>0</v>
      </c>
    </row>
    <row r="45" spans="1:90" ht="12" customHeight="1" x14ac:dyDescent="0.25">
      <c r="A45" s="29">
        <v>15067</v>
      </c>
      <c r="C45" s="3">
        <v>1765000</v>
      </c>
      <c r="D45" s="3">
        <v>352800</v>
      </c>
      <c r="E45" s="3">
        <v>97157</v>
      </c>
      <c r="F45" s="3">
        <v>2370000</v>
      </c>
      <c r="G45" s="3">
        <v>72225</v>
      </c>
      <c r="H45" s="3">
        <v>112831</v>
      </c>
      <c r="L45" s="3">
        <f>C45+F45+I45</f>
        <v>4135000</v>
      </c>
      <c r="M45" s="3">
        <f t="shared" si="35"/>
        <v>425025</v>
      </c>
      <c r="N45" s="3">
        <f t="shared" si="1"/>
        <v>4560025</v>
      </c>
      <c r="O45" s="3">
        <f t="shared" si="2"/>
        <v>209988</v>
      </c>
      <c r="Q45" s="3"/>
      <c r="R45" s="3"/>
      <c r="T45" s="3"/>
      <c r="V45" s="5">
        <f t="shared" si="36"/>
        <v>896518.24861941952</v>
      </c>
      <c r="W45" s="5">
        <f t="shared" si="37"/>
        <v>179202.06125378539</v>
      </c>
      <c r="X45" s="5">
        <f t="shared" si="5"/>
        <v>1075720.3098732049</v>
      </c>
      <c r="Y45" s="5">
        <f t="shared" si="6"/>
        <v>49350.154946808463</v>
      </c>
      <c r="AA45" s="5">
        <f t="shared" si="38"/>
        <v>868481.75138058106</v>
      </c>
      <c r="AB45" s="5">
        <f t="shared" si="39"/>
        <v>173597.93874621473</v>
      </c>
      <c r="AC45" s="5">
        <f t="shared" si="8"/>
        <v>1042079.6901267958</v>
      </c>
      <c r="AD45" s="5">
        <f t="shared" si="9"/>
        <v>47806.845053191566</v>
      </c>
      <c r="AF45" s="5">
        <f>'20-Year Acad Revised'!H44+'20-Year Fac Renewal Acad'!H44</f>
        <v>1688612.3838417456</v>
      </c>
      <c r="AG45" s="5">
        <f>'20-Year Acad Revised'!I44+'20-Year Fac Renewal Acad'!I44</f>
        <v>51459.928026569629</v>
      </c>
      <c r="AH45" s="5">
        <f t="shared" si="20"/>
        <v>1740072.3118683151</v>
      </c>
      <c r="AI45" s="5">
        <f>'20-Year Acad Revised'!K44+'20-Year Fac Renewal Acad'!K44</f>
        <v>80391.48686972486</v>
      </c>
      <c r="AK45" s="3">
        <f>+AZ45+CD45+BE45+BJ45+BO45+BT45+AP45+AU45</f>
        <v>681387.61615825538</v>
      </c>
      <c r="AL45" s="3">
        <f t="shared" si="10"/>
        <v>20765.071973430378</v>
      </c>
      <c r="AM45" s="5">
        <f t="shared" si="11"/>
        <v>702152.68813168572</v>
      </c>
      <c r="AN45" s="3">
        <f t="shared" si="10"/>
        <v>32439.513130275147</v>
      </c>
      <c r="AO45" s="5"/>
      <c r="AP45" s="5">
        <f>F45*$AQ$8</f>
        <v>465.87139605718238</v>
      </c>
      <c r="AQ45" s="5">
        <f t="shared" si="12"/>
        <v>14.197283367185651</v>
      </c>
      <c r="AR45" s="5">
        <f t="shared" si="21"/>
        <v>480.06867942436804</v>
      </c>
      <c r="AS45" s="5">
        <f t="shared" si="22"/>
        <v>22.179213286298708</v>
      </c>
      <c r="AU45" s="5">
        <f>F45*$AV$8</f>
        <v>21763.839775020617</v>
      </c>
      <c r="AV45" s="5">
        <f t="shared" si="13"/>
        <v>663.24612985268527</v>
      </c>
      <c r="AW45" s="5">
        <f t="shared" si="23"/>
        <v>22427.085904873304</v>
      </c>
      <c r="AX45" s="5">
        <f t="shared" si="24"/>
        <v>1036.1332513313719</v>
      </c>
      <c r="AZ45" s="5"/>
      <c r="BA45" s="5"/>
      <c r="BB45" s="5"/>
      <c r="BC45" s="5"/>
      <c r="BD45" s="5"/>
      <c r="BE45" s="5">
        <f>F45*$BF$8</f>
        <v>7240.487300716406</v>
      </c>
      <c r="BF45" s="5">
        <f t="shared" si="14"/>
        <v>220.6515591958829</v>
      </c>
      <c r="BG45" s="5">
        <f t="shared" si="25"/>
        <v>7461.1388599122893</v>
      </c>
      <c r="BH45" s="5">
        <f t="shared" si="26"/>
        <v>344.70524161482399</v>
      </c>
      <c r="BJ45" s="5">
        <f>F45*$BK$8</f>
        <v>504064.07484260836</v>
      </c>
      <c r="BK45" s="5">
        <f t="shared" si="15"/>
        <v>15361.193166880756</v>
      </c>
      <c r="BL45" s="5">
        <f t="shared" si="27"/>
        <v>519425.26800948911</v>
      </c>
      <c r="BM45" s="5">
        <f t="shared" si="28"/>
        <v>23997.490982517447</v>
      </c>
      <c r="BO45" s="5">
        <f>F45*$BP$8</f>
        <v>133510.24203850783</v>
      </c>
      <c r="BP45" s="5">
        <f t="shared" si="16"/>
        <v>4068.6823760469315</v>
      </c>
      <c r="BQ45" s="5">
        <f t="shared" si="29"/>
        <v>137578.92441455476</v>
      </c>
      <c r="BR45" s="5">
        <f t="shared" si="30"/>
        <v>6356.1578563066987</v>
      </c>
      <c r="BT45" s="5">
        <f>F45*$BU$8</f>
        <v>3232.7691593617014</v>
      </c>
      <c r="BU45" s="5">
        <f t="shared" si="17"/>
        <v>98.517617103332867</v>
      </c>
      <c r="BV45" s="5">
        <f t="shared" si="31"/>
        <v>3331.2867764650341</v>
      </c>
      <c r="BW45" s="5">
        <f t="shared" si="32"/>
        <v>153.90572870039668</v>
      </c>
      <c r="CB45" s="5"/>
      <c r="CC45" s="5"/>
      <c r="CD45" s="5">
        <f>F45*$CE$8</f>
        <v>11110.3316459832</v>
      </c>
      <c r="CE45" s="5">
        <f t="shared" si="18"/>
        <v>338.58384098360199</v>
      </c>
      <c r="CF45" s="5">
        <f t="shared" si="19"/>
        <v>11448.915486966802</v>
      </c>
      <c r="CG45" s="5">
        <f t="shared" si="33"/>
        <v>528.94085651811417</v>
      </c>
      <c r="CL45" s="5">
        <f t="shared" si="34"/>
        <v>0</v>
      </c>
    </row>
    <row r="46" spans="1:90" ht="12" customHeight="1" x14ac:dyDescent="0.25">
      <c r="A46" s="29">
        <v>15250</v>
      </c>
      <c r="D46" s="3">
        <v>326325</v>
      </c>
      <c r="E46" s="3">
        <v>97157</v>
      </c>
      <c r="G46" s="3">
        <v>36675</v>
      </c>
      <c r="H46" s="3">
        <v>112831</v>
      </c>
      <c r="M46" s="3">
        <f t="shared" si="35"/>
        <v>363000</v>
      </c>
      <c r="N46" s="3">
        <f t="shared" si="1"/>
        <v>363000</v>
      </c>
      <c r="O46" s="3">
        <f t="shared" si="2"/>
        <v>209988</v>
      </c>
      <c r="Q46" s="3"/>
      <c r="R46" s="3"/>
      <c r="T46" s="3"/>
      <c r="V46" s="5"/>
      <c r="W46" s="5">
        <f t="shared" si="37"/>
        <v>165754.28752449408</v>
      </c>
      <c r="X46" s="5">
        <f t="shared" si="5"/>
        <v>165754.28752449408</v>
      </c>
      <c r="Y46" s="5">
        <f t="shared" si="6"/>
        <v>49350.154946808463</v>
      </c>
      <c r="AB46" s="5">
        <f t="shared" si="39"/>
        <v>160570.71247550601</v>
      </c>
      <c r="AC46" s="5">
        <f t="shared" si="8"/>
        <v>160570.71247550601</v>
      </c>
      <c r="AD46" s="5">
        <f t="shared" si="9"/>
        <v>47806.845053191566</v>
      </c>
      <c r="AG46" s="5">
        <f>'20-Year Acad Revised'!I45+'20-Year Fac Renewal Acad'!I45</f>
        <v>26130.742268943457</v>
      </c>
      <c r="AH46" s="5">
        <f t="shared" si="20"/>
        <v>26130.742268943457</v>
      </c>
      <c r="AI46" s="5">
        <f>'20-Year Acad Revised'!K45+'20-Year Fac Renewal Acad'!K45</f>
        <v>80391.48686972486</v>
      </c>
      <c r="AK46" s="3"/>
      <c r="AL46" s="3">
        <f t="shared" si="10"/>
        <v>10544.257731056545</v>
      </c>
      <c r="AM46" s="5">
        <f t="shared" si="11"/>
        <v>10544.257731056545</v>
      </c>
      <c r="AN46" s="3">
        <f t="shared" si="10"/>
        <v>32439.513130275147</v>
      </c>
      <c r="AO46" s="5"/>
      <c r="AP46" s="5"/>
      <c r="AQ46" s="5">
        <f t="shared" si="12"/>
        <v>7.2092124263279169</v>
      </c>
      <c r="AR46" s="5">
        <f t="shared" si="21"/>
        <v>7.2092124263279169</v>
      </c>
      <c r="AS46" s="5">
        <f t="shared" si="22"/>
        <v>22.179213286298708</v>
      </c>
      <c r="AV46" s="5">
        <f t="shared" si="13"/>
        <v>336.78853322737598</v>
      </c>
      <c r="AW46" s="5">
        <f t="shared" si="23"/>
        <v>336.78853322737598</v>
      </c>
      <c r="AX46" s="5">
        <f t="shared" si="24"/>
        <v>1036.1332513313719</v>
      </c>
      <c r="AZ46" s="5"/>
      <c r="BA46" s="5"/>
      <c r="BB46" s="5"/>
      <c r="BC46" s="5"/>
      <c r="BD46" s="5"/>
      <c r="BF46" s="5">
        <f t="shared" si="14"/>
        <v>112.04424968513679</v>
      </c>
      <c r="BG46" s="5">
        <f t="shared" si="25"/>
        <v>112.04424968513679</v>
      </c>
      <c r="BH46" s="5">
        <f t="shared" si="26"/>
        <v>344.70524161482399</v>
      </c>
      <c r="BK46" s="5">
        <f t="shared" si="15"/>
        <v>7800.2320442416294</v>
      </c>
      <c r="BL46" s="5">
        <f t="shared" si="27"/>
        <v>7800.2320442416294</v>
      </c>
      <c r="BM46" s="5">
        <f t="shared" si="28"/>
        <v>23997.490982517447</v>
      </c>
      <c r="BP46" s="5">
        <f t="shared" si="16"/>
        <v>2066.0287454693139</v>
      </c>
      <c r="BQ46" s="5">
        <f t="shared" si="29"/>
        <v>2066.0287454693139</v>
      </c>
      <c r="BR46" s="5">
        <f t="shared" si="30"/>
        <v>6356.1578563066987</v>
      </c>
      <c r="BU46" s="5">
        <f t="shared" si="17"/>
        <v>50.026079712907347</v>
      </c>
      <c r="BV46" s="5">
        <f t="shared" si="31"/>
        <v>50.026079712907347</v>
      </c>
      <c r="BW46" s="5">
        <f t="shared" si="32"/>
        <v>153.90572870039668</v>
      </c>
      <c r="CB46" s="5"/>
      <c r="CC46" s="5"/>
      <c r="CE46" s="5">
        <f t="shared" si="18"/>
        <v>171.92886629385396</v>
      </c>
      <c r="CF46" s="5">
        <f t="shared" si="19"/>
        <v>171.92886629385396</v>
      </c>
      <c r="CG46" s="5">
        <f t="shared" si="33"/>
        <v>528.94085651811417</v>
      </c>
      <c r="CL46" s="5">
        <f t="shared" si="34"/>
        <v>0</v>
      </c>
    </row>
    <row r="47" spans="1:90" ht="12" customHeight="1" x14ac:dyDescent="0.25">
      <c r="A47" s="29">
        <v>15432</v>
      </c>
      <c r="C47" s="3">
        <v>1815000</v>
      </c>
      <c r="D47" s="3">
        <v>326325</v>
      </c>
      <c r="E47" s="3">
        <v>97157</v>
      </c>
      <c r="F47" s="3">
        <v>2445000</v>
      </c>
      <c r="G47" s="3">
        <v>36675</v>
      </c>
      <c r="H47" s="3">
        <v>112831</v>
      </c>
      <c r="L47" s="3">
        <f>C47+F47+I47</f>
        <v>4260000</v>
      </c>
      <c r="M47" s="3">
        <f t="shared" si="35"/>
        <v>363000</v>
      </c>
      <c r="N47" s="3">
        <f t="shared" si="1"/>
        <v>4623000</v>
      </c>
      <c r="O47" s="3">
        <f t="shared" si="2"/>
        <v>209988</v>
      </c>
      <c r="Q47" s="3"/>
      <c r="R47" s="3"/>
      <c r="T47" s="3"/>
      <c r="V47" s="5">
        <f t="shared" si="36"/>
        <v>921915.36614404898</v>
      </c>
      <c r="W47" s="5">
        <f t="shared" si="37"/>
        <v>165754.28752449408</v>
      </c>
      <c r="X47" s="5">
        <f t="shared" si="5"/>
        <v>1087669.6536685431</v>
      </c>
      <c r="Y47" s="5">
        <f t="shared" si="6"/>
        <v>49350.154946808463</v>
      </c>
      <c r="AA47" s="5">
        <f t="shared" si="38"/>
        <v>893084.6338559516</v>
      </c>
      <c r="AB47" s="5">
        <f t="shared" si="39"/>
        <v>160570.71247550601</v>
      </c>
      <c r="AC47" s="5">
        <f t="shared" si="8"/>
        <v>1053655.3463314576</v>
      </c>
      <c r="AD47" s="5">
        <f t="shared" si="9"/>
        <v>47806.845053191566</v>
      </c>
      <c r="AF47" s="5">
        <f>'20-Year Acad Revised'!H46+'20-Year Fac Renewal Acad'!H46</f>
        <v>1742049.4845962306</v>
      </c>
      <c r="AG47" s="5">
        <f>'20-Year Acad Revised'!I46+'20-Year Fac Renewal Acad'!I46</f>
        <v>26130.742268943457</v>
      </c>
      <c r="AH47" s="5">
        <f t="shared" si="20"/>
        <v>1768180.226865174</v>
      </c>
      <c r="AI47" s="5">
        <f>'20-Year Acad Revised'!K46+'20-Year Fac Renewal Acad'!K46</f>
        <v>80391.48686972486</v>
      </c>
      <c r="AK47" s="3">
        <f>+AZ47+CD47+BE47+BJ47+BO47+BT47+AP47+AU47</f>
        <v>702950.51540376968</v>
      </c>
      <c r="AL47" s="3">
        <f t="shared" si="10"/>
        <v>10544.257731056545</v>
      </c>
      <c r="AM47" s="5">
        <f t="shared" si="11"/>
        <v>713494.77313482622</v>
      </c>
      <c r="AN47" s="3">
        <f t="shared" si="10"/>
        <v>32439.513130275147</v>
      </c>
      <c r="AO47" s="5"/>
      <c r="AP47" s="5">
        <f>F47*$AQ$8</f>
        <v>480.61416175519446</v>
      </c>
      <c r="AQ47" s="5">
        <f t="shared" si="12"/>
        <v>7.2092124263279169</v>
      </c>
      <c r="AR47" s="5">
        <f t="shared" si="21"/>
        <v>487.82337418152235</v>
      </c>
      <c r="AS47" s="5">
        <f t="shared" si="22"/>
        <v>22.179213286298708</v>
      </c>
      <c r="AU47" s="5">
        <f>F47*$AV$8</f>
        <v>22452.568881825067</v>
      </c>
      <c r="AV47" s="5">
        <f t="shared" si="13"/>
        <v>336.78853322737598</v>
      </c>
      <c r="AW47" s="5">
        <f t="shared" si="23"/>
        <v>22789.357415052444</v>
      </c>
      <c r="AX47" s="5">
        <f t="shared" si="24"/>
        <v>1036.1332513313719</v>
      </c>
      <c r="AZ47" s="5"/>
      <c r="BA47" s="5"/>
      <c r="BB47" s="5"/>
      <c r="BC47" s="5"/>
      <c r="BD47" s="5"/>
      <c r="BE47" s="5">
        <f>F47*$BF$8</f>
        <v>7469.6166456757865</v>
      </c>
      <c r="BF47" s="5">
        <f t="shared" si="14"/>
        <v>112.04424968513679</v>
      </c>
      <c r="BG47" s="5">
        <f t="shared" si="25"/>
        <v>7581.660895360923</v>
      </c>
      <c r="BH47" s="5">
        <f t="shared" si="26"/>
        <v>344.70524161482399</v>
      </c>
      <c r="BJ47" s="5">
        <f>F47*$BK$8</f>
        <v>520015.46961610863</v>
      </c>
      <c r="BK47" s="5">
        <f t="shared" si="15"/>
        <v>7800.2320442416294</v>
      </c>
      <c r="BL47" s="5">
        <f t="shared" si="27"/>
        <v>527815.70166035031</v>
      </c>
      <c r="BM47" s="5">
        <f t="shared" si="28"/>
        <v>23997.490982517447</v>
      </c>
      <c r="BO47" s="5">
        <f>F47*$BP$8</f>
        <v>137735.24969795428</v>
      </c>
      <c r="BP47" s="5">
        <f t="shared" si="16"/>
        <v>2066.0287454693139</v>
      </c>
      <c r="BQ47" s="5">
        <f t="shared" si="29"/>
        <v>139801.27844342359</v>
      </c>
      <c r="BR47" s="5">
        <f t="shared" si="30"/>
        <v>6356.1578563066987</v>
      </c>
      <c r="BT47" s="5">
        <f>F47*$BU$8</f>
        <v>3335.0719808604895</v>
      </c>
      <c r="BU47" s="5">
        <f t="shared" si="17"/>
        <v>50.026079712907347</v>
      </c>
      <c r="BV47" s="5">
        <f t="shared" si="31"/>
        <v>3385.0980605733967</v>
      </c>
      <c r="BW47" s="5">
        <f t="shared" si="32"/>
        <v>153.90572870039668</v>
      </c>
      <c r="CB47" s="5"/>
      <c r="CC47" s="5"/>
      <c r="CD47" s="5">
        <f>F47*$CE$8</f>
        <v>11461.924419590265</v>
      </c>
      <c r="CE47" s="5">
        <f t="shared" si="18"/>
        <v>171.92886629385396</v>
      </c>
      <c r="CF47" s="5">
        <f t="shared" si="19"/>
        <v>11633.853285884119</v>
      </c>
      <c r="CG47" s="5">
        <f t="shared" si="33"/>
        <v>528.94085651811417</v>
      </c>
      <c r="CL47" s="5">
        <f t="shared" si="34"/>
        <v>0</v>
      </c>
    </row>
    <row r="48" spans="1:90" ht="12" customHeight="1" x14ac:dyDescent="0.25">
      <c r="A48" s="29">
        <v>15615</v>
      </c>
      <c r="D48" s="3">
        <v>299100</v>
      </c>
      <c r="E48" s="3">
        <v>97157</v>
      </c>
      <c r="M48" s="3">
        <f t="shared" si="35"/>
        <v>299100</v>
      </c>
      <c r="N48" s="3">
        <f t="shared" si="1"/>
        <v>299100</v>
      </c>
      <c r="O48" s="3">
        <f t="shared" si="2"/>
        <v>97157</v>
      </c>
      <c r="Q48" s="3"/>
      <c r="R48" s="3"/>
      <c r="T48" s="3"/>
      <c r="V48" s="5"/>
      <c r="W48" s="5">
        <f t="shared" si="37"/>
        <v>151925.55703233337</v>
      </c>
      <c r="X48" s="5">
        <f t="shared" si="5"/>
        <v>151925.55703233337</v>
      </c>
      <c r="Y48" s="5">
        <f t="shared" si="6"/>
        <v>49350.154946808463</v>
      </c>
      <c r="AB48" s="5">
        <f t="shared" si="39"/>
        <v>147174.44296766675</v>
      </c>
      <c r="AC48" s="5">
        <f t="shared" si="8"/>
        <v>147174.44296766675</v>
      </c>
      <c r="AD48" s="5">
        <f t="shared" si="9"/>
        <v>47806.845053191566</v>
      </c>
      <c r="AK48" s="3"/>
      <c r="AL48" s="3"/>
      <c r="AM48" s="5"/>
      <c r="AN48" s="3"/>
      <c r="AO48" s="5"/>
      <c r="AP48" s="5"/>
      <c r="AQ48" s="5"/>
      <c r="AR48" s="5"/>
      <c r="AS48" s="5">
        <f t="shared" si="22"/>
        <v>0</v>
      </c>
      <c r="AX48" s="5">
        <f t="shared" si="24"/>
        <v>0</v>
      </c>
      <c r="AZ48" s="5"/>
      <c r="BA48" s="5"/>
      <c r="BB48" s="5"/>
      <c r="BC48" s="5"/>
      <c r="BD48" s="5"/>
      <c r="BH48" s="5">
        <f t="shared" si="26"/>
        <v>0</v>
      </c>
      <c r="BM48" s="5">
        <f t="shared" si="28"/>
        <v>0</v>
      </c>
      <c r="BR48" s="5">
        <f t="shared" si="30"/>
        <v>0</v>
      </c>
      <c r="BW48" s="5">
        <f t="shared" si="32"/>
        <v>0</v>
      </c>
      <c r="CB48" s="5"/>
      <c r="CC48" s="5"/>
      <c r="CG48" s="5">
        <f t="shared" si="33"/>
        <v>0</v>
      </c>
      <c r="CL48" s="5">
        <f t="shared" si="34"/>
        <v>0</v>
      </c>
    </row>
    <row r="49" spans="1:90" ht="12" customHeight="1" x14ac:dyDescent="0.25">
      <c r="A49" s="29">
        <v>15797</v>
      </c>
      <c r="C49" s="3">
        <v>1660000</v>
      </c>
      <c r="D49" s="3">
        <v>299100</v>
      </c>
      <c r="E49" s="3">
        <v>97157</v>
      </c>
      <c r="L49" s="3">
        <f>C49+F49+I49</f>
        <v>1660000</v>
      </c>
      <c r="M49" s="3">
        <f t="shared" si="35"/>
        <v>299100</v>
      </c>
      <c r="N49" s="3">
        <f t="shared" si="1"/>
        <v>1959100</v>
      </c>
      <c r="O49" s="3">
        <f t="shared" si="2"/>
        <v>97157</v>
      </c>
      <c r="Q49" s="3"/>
      <c r="R49" s="3"/>
      <c r="T49" s="3"/>
      <c r="V49" s="5">
        <f t="shared" si="36"/>
        <v>843184.30181769771</v>
      </c>
      <c r="W49" s="5">
        <f t="shared" si="37"/>
        <v>151925.55703233337</v>
      </c>
      <c r="X49" s="5">
        <f t="shared" si="5"/>
        <v>995109.85885003104</v>
      </c>
      <c r="Y49" s="5">
        <f t="shared" si="6"/>
        <v>49350.154946808463</v>
      </c>
      <c r="AA49" s="5">
        <f t="shared" si="38"/>
        <v>816815.69818230288</v>
      </c>
      <c r="AB49" s="5">
        <f t="shared" si="39"/>
        <v>147174.44296766675</v>
      </c>
      <c r="AC49" s="5">
        <f t="shared" si="8"/>
        <v>963990.14114996966</v>
      </c>
      <c r="AD49" s="5">
        <f t="shared" si="9"/>
        <v>47806.845053191566</v>
      </c>
      <c r="AK49" s="3"/>
      <c r="AL49" s="3"/>
      <c r="AM49" s="5"/>
      <c r="AN49" s="3"/>
      <c r="AO49" s="5"/>
      <c r="AP49" s="5"/>
      <c r="AQ49" s="5"/>
      <c r="AR49" s="5"/>
      <c r="AS49" s="5">
        <f t="shared" si="22"/>
        <v>0</v>
      </c>
      <c r="AX49" s="5">
        <f t="shared" si="24"/>
        <v>0</v>
      </c>
      <c r="AZ49" s="5"/>
      <c r="BA49" s="5"/>
      <c r="BB49" s="5"/>
      <c r="BC49" s="5"/>
      <c r="BD49" s="5"/>
      <c r="BH49" s="5">
        <f t="shared" si="26"/>
        <v>0</v>
      </c>
      <c r="BM49" s="5">
        <f t="shared" si="28"/>
        <v>0</v>
      </c>
      <c r="BR49" s="5">
        <f t="shared" si="30"/>
        <v>0</v>
      </c>
      <c r="BW49" s="5">
        <f t="shared" si="32"/>
        <v>0</v>
      </c>
      <c r="CB49" s="5"/>
      <c r="CC49" s="5"/>
      <c r="CG49" s="5">
        <f t="shared" si="33"/>
        <v>0</v>
      </c>
      <c r="CL49" s="5">
        <f t="shared" si="34"/>
        <v>0</v>
      </c>
    </row>
    <row r="50" spans="1:90" ht="12" customHeight="1" x14ac:dyDescent="0.25">
      <c r="A50" s="29">
        <v>15980</v>
      </c>
      <c r="D50" s="3">
        <v>274200</v>
      </c>
      <c r="E50" s="3">
        <v>97157</v>
      </c>
      <c r="M50" s="3">
        <f t="shared" si="35"/>
        <v>274200</v>
      </c>
      <c r="N50" s="3">
        <f t="shared" si="1"/>
        <v>274200</v>
      </c>
      <c r="O50" s="3">
        <f t="shared" si="2"/>
        <v>97157</v>
      </c>
      <c r="Q50" s="3"/>
      <c r="R50" s="3"/>
      <c r="T50" s="3"/>
      <c r="V50" s="5"/>
      <c r="W50" s="5">
        <f t="shared" si="37"/>
        <v>139277.79250506789</v>
      </c>
      <c r="X50" s="5">
        <f t="shared" si="5"/>
        <v>139277.79250506789</v>
      </c>
      <c r="Y50" s="5">
        <f t="shared" si="6"/>
        <v>49350.154946808463</v>
      </c>
      <c r="AB50" s="5">
        <f t="shared" si="39"/>
        <v>134922.2074949322</v>
      </c>
      <c r="AC50" s="5">
        <f t="shared" si="8"/>
        <v>134922.2074949322</v>
      </c>
      <c r="AD50" s="5">
        <f t="shared" si="9"/>
        <v>47806.845053191566</v>
      </c>
      <c r="AK50" s="3"/>
      <c r="AL50" s="3"/>
      <c r="AM50" s="5"/>
      <c r="AN50" s="3"/>
      <c r="AO50" s="5"/>
      <c r="AP50" s="5"/>
      <c r="AQ50" s="5"/>
      <c r="AR50" s="5"/>
      <c r="AS50" s="5">
        <f t="shared" si="22"/>
        <v>0</v>
      </c>
      <c r="AX50" s="5">
        <f t="shared" si="24"/>
        <v>0</v>
      </c>
      <c r="AZ50" s="5"/>
      <c r="BA50" s="5"/>
      <c r="BB50" s="5"/>
      <c r="BC50" s="5"/>
      <c r="BD50" s="5"/>
      <c r="BH50" s="5">
        <f t="shared" si="26"/>
        <v>0</v>
      </c>
      <c r="BM50" s="5">
        <f t="shared" si="28"/>
        <v>0</v>
      </c>
      <c r="BR50" s="5">
        <f t="shared" si="30"/>
        <v>0</v>
      </c>
      <c r="BW50" s="5">
        <f t="shared" si="32"/>
        <v>0</v>
      </c>
      <c r="CB50" s="5"/>
      <c r="CC50" s="5"/>
      <c r="CG50" s="5">
        <f t="shared" si="33"/>
        <v>0</v>
      </c>
      <c r="CL50" s="5">
        <f t="shared" si="34"/>
        <v>0</v>
      </c>
    </row>
    <row r="51" spans="1:90" ht="12" customHeight="1" x14ac:dyDescent="0.25">
      <c r="A51" s="29">
        <v>16163</v>
      </c>
      <c r="C51" s="3">
        <v>1725000</v>
      </c>
      <c r="D51" s="3">
        <v>274200</v>
      </c>
      <c r="E51" s="3">
        <v>97157</v>
      </c>
      <c r="L51" s="3">
        <f>C51+F51+I51</f>
        <v>1725000</v>
      </c>
      <c r="M51" s="3">
        <f t="shared" si="35"/>
        <v>274200</v>
      </c>
      <c r="N51" s="3">
        <f t="shared" si="1"/>
        <v>1999200</v>
      </c>
      <c r="O51" s="3">
        <f t="shared" si="2"/>
        <v>97157</v>
      </c>
      <c r="Q51" s="3"/>
      <c r="R51" s="3"/>
      <c r="T51" s="3"/>
      <c r="V51" s="5">
        <f t="shared" si="36"/>
        <v>876200.55459971598</v>
      </c>
      <c r="W51" s="5">
        <f t="shared" si="37"/>
        <v>139277.79250506789</v>
      </c>
      <c r="X51" s="5">
        <f t="shared" si="5"/>
        <v>1015478.3471047839</v>
      </c>
      <c r="Y51" s="5">
        <f t="shared" si="6"/>
        <v>49350.154946808463</v>
      </c>
      <c r="AA51" s="5">
        <f t="shared" si="38"/>
        <v>848799.4454002846</v>
      </c>
      <c r="AB51" s="5">
        <f t="shared" si="39"/>
        <v>134922.2074949322</v>
      </c>
      <c r="AC51" s="5">
        <f t="shared" si="8"/>
        <v>983721.65289521683</v>
      </c>
      <c r="AD51" s="5">
        <f t="shared" si="9"/>
        <v>47806.845053191566</v>
      </c>
      <c r="AK51" s="3"/>
      <c r="AL51" s="3"/>
      <c r="AM51" s="5"/>
      <c r="AN51" s="3"/>
      <c r="AO51" s="5"/>
      <c r="AP51" s="5"/>
      <c r="AQ51" s="5"/>
      <c r="AR51" s="5"/>
      <c r="AS51" s="5">
        <f t="shared" si="22"/>
        <v>0</v>
      </c>
      <c r="AX51" s="5">
        <f t="shared" si="24"/>
        <v>0</v>
      </c>
      <c r="AZ51" s="5"/>
      <c r="BA51" s="5"/>
      <c r="BB51" s="5"/>
      <c r="BC51" s="5"/>
      <c r="BD51" s="5"/>
      <c r="BH51" s="5">
        <f t="shared" si="26"/>
        <v>0</v>
      </c>
      <c r="BM51" s="5">
        <f t="shared" si="28"/>
        <v>0</v>
      </c>
      <c r="BR51" s="5">
        <f t="shared" si="30"/>
        <v>0</v>
      </c>
      <c r="BW51" s="5">
        <f t="shared" si="32"/>
        <v>0</v>
      </c>
      <c r="CB51" s="5"/>
      <c r="CC51" s="5"/>
      <c r="CG51" s="5">
        <f t="shared" si="33"/>
        <v>0</v>
      </c>
      <c r="CL51" s="5">
        <f t="shared" si="34"/>
        <v>0</v>
      </c>
    </row>
    <row r="52" spans="1:90" ht="12" customHeight="1" x14ac:dyDescent="0.25">
      <c r="A52" s="29">
        <v>16346</v>
      </c>
      <c r="D52" s="3">
        <v>248325</v>
      </c>
      <c r="E52" s="3">
        <v>97157</v>
      </c>
      <c r="M52" s="3">
        <f t="shared" si="35"/>
        <v>248325</v>
      </c>
      <c r="N52" s="3">
        <f t="shared" si="1"/>
        <v>248325</v>
      </c>
      <c r="O52" s="3">
        <f t="shared" si="2"/>
        <v>97157</v>
      </c>
      <c r="Q52" s="3"/>
      <c r="R52" s="3"/>
      <c r="T52" s="3"/>
      <c r="V52" s="5"/>
      <c r="W52" s="5">
        <f t="shared" si="37"/>
        <v>126134.78418607215</v>
      </c>
      <c r="X52" s="5">
        <f t="shared" si="5"/>
        <v>126134.78418607215</v>
      </c>
      <c r="Y52" s="5">
        <f t="shared" si="6"/>
        <v>49350.154946808463</v>
      </c>
      <c r="AB52" s="5">
        <f t="shared" si="39"/>
        <v>122190.21581392793</v>
      </c>
      <c r="AC52" s="5">
        <f t="shared" si="8"/>
        <v>122190.21581392793</v>
      </c>
      <c r="AD52" s="5">
        <f t="shared" si="9"/>
        <v>47806.845053191566</v>
      </c>
      <c r="AK52" s="3"/>
      <c r="AL52" s="3"/>
      <c r="AM52" s="5"/>
      <c r="AN52" s="3"/>
      <c r="AO52" s="5"/>
      <c r="AP52" s="5"/>
      <c r="AQ52" s="5"/>
      <c r="AR52" s="5"/>
      <c r="AS52" s="5">
        <f t="shared" si="22"/>
        <v>0</v>
      </c>
      <c r="AX52" s="5">
        <f t="shared" si="24"/>
        <v>0</v>
      </c>
      <c r="AZ52" s="5"/>
      <c r="BA52" s="5"/>
      <c r="BB52" s="5"/>
      <c r="BC52" s="5"/>
      <c r="BD52" s="5"/>
      <c r="BH52" s="5">
        <f t="shared" si="26"/>
        <v>0</v>
      </c>
      <c r="BM52" s="5">
        <f t="shared" si="28"/>
        <v>0</v>
      </c>
      <c r="BR52" s="5">
        <f t="shared" si="30"/>
        <v>0</v>
      </c>
      <c r="BW52" s="5">
        <f t="shared" si="32"/>
        <v>0</v>
      </c>
      <c r="CB52" s="5"/>
      <c r="CC52" s="5"/>
      <c r="CG52" s="5">
        <f t="shared" si="33"/>
        <v>0</v>
      </c>
      <c r="CL52" s="5">
        <f t="shared" si="34"/>
        <v>0</v>
      </c>
    </row>
    <row r="53" spans="1:90" ht="12" customHeight="1" x14ac:dyDescent="0.25">
      <c r="A53" s="29">
        <v>16528</v>
      </c>
      <c r="C53" s="3">
        <v>1795000</v>
      </c>
      <c r="D53" s="3">
        <v>248325</v>
      </c>
      <c r="E53" s="3">
        <v>97157</v>
      </c>
      <c r="L53" s="3">
        <f>C53+F53+I53</f>
        <v>1795000</v>
      </c>
      <c r="M53" s="3">
        <f t="shared" si="35"/>
        <v>248325</v>
      </c>
      <c r="N53" s="3">
        <f t="shared" si="1"/>
        <v>2043325</v>
      </c>
      <c r="O53" s="3">
        <f t="shared" si="2"/>
        <v>97157</v>
      </c>
      <c r="Q53" s="3"/>
      <c r="R53" s="3"/>
      <c r="T53" s="3"/>
      <c r="V53" s="5">
        <f t="shared" si="36"/>
        <v>911756.51913419715</v>
      </c>
      <c r="W53" s="5">
        <f t="shared" si="37"/>
        <v>126134.78418607215</v>
      </c>
      <c r="X53" s="5">
        <f t="shared" si="5"/>
        <v>1037891.3033202693</v>
      </c>
      <c r="Y53" s="5">
        <f t="shared" si="6"/>
        <v>49350.154946808463</v>
      </c>
      <c r="AA53" s="5">
        <f t="shared" si="38"/>
        <v>883243.48086580343</v>
      </c>
      <c r="AB53" s="5">
        <f t="shared" si="39"/>
        <v>122190.21581392793</v>
      </c>
      <c r="AC53" s="5">
        <f t="shared" si="8"/>
        <v>1005433.6966797314</v>
      </c>
      <c r="AD53" s="5">
        <f t="shared" si="9"/>
        <v>47806.845053191566</v>
      </c>
      <c r="AK53" s="3"/>
      <c r="AL53" s="3"/>
      <c r="AM53" s="5"/>
      <c r="AN53" s="3"/>
      <c r="AO53" s="5"/>
      <c r="AP53" s="5"/>
      <c r="AQ53" s="5"/>
      <c r="AR53" s="5"/>
      <c r="AS53" s="5">
        <f t="shared" si="22"/>
        <v>0</v>
      </c>
      <c r="AX53" s="5">
        <f t="shared" si="24"/>
        <v>0</v>
      </c>
      <c r="AZ53" s="5"/>
      <c r="BA53" s="5"/>
      <c r="BB53" s="5"/>
      <c r="BC53" s="5"/>
      <c r="BD53" s="5"/>
      <c r="BH53" s="5">
        <f t="shared" si="26"/>
        <v>0</v>
      </c>
      <c r="BM53" s="5">
        <f t="shared" si="28"/>
        <v>0</v>
      </c>
      <c r="BR53" s="5">
        <f t="shared" si="30"/>
        <v>0</v>
      </c>
      <c r="BW53" s="5">
        <f t="shared" si="32"/>
        <v>0</v>
      </c>
      <c r="CB53" s="5"/>
      <c r="CC53" s="5"/>
      <c r="CG53" s="5">
        <f t="shared" si="33"/>
        <v>0</v>
      </c>
      <c r="CL53" s="5">
        <f t="shared" si="34"/>
        <v>0</v>
      </c>
    </row>
    <row r="54" spans="1:90" ht="12" customHeight="1" x14ac:dyDescent="0.25">
      <c r="A54" s="29">
        <v>16711</v>
      </c>
      <c r="D54" s="3">
        <v>221400</v>
      </c>
      <c r="E54" s="3">
        <v>97157</v>
      </c>
      <c r="M54" s="3">
        <f t="shared" si="35"/>
        <v>221400</v>
      </c>
      <c r="N54" s="3">
        <f t="shared" si="1"/>
        <v>221400</v>
      </c>
      <c r="O54" s="3">
        <f t="shared" si="2"/>
        <v>97157</v>
      </c>
      <c r="Q54" s="3"/>
      <c r="R54" s="3"/>
      <c r="T54" s="3"/>
      <c r="V54" s="5"/>
      <c r="W54" s="5">
        <f t="shared" si="37"/>
        <v>112458.4363990592</v>
      </c>
      <c r="X54" s="5">
        <f t="shared" si="5"/>
        <v>112458.4363990592</v>
      </c>
      <c r="Y54" s="5">
        <f t="shared" si="6"/>
        <v>49350.154946808463</v>
      </c>
      <c r="AB54" s="5">
        <f t="shared" si="39"/>
        <v>108941.56360094088</v>
      </c>
      <c r="AC54" s="5">
        <f t="shared" si="8"/>
        <v>108941.56360094088</v>
      </c>
      <c r="AD54" s="5">
        <f t="shared" si="9"/>
        <v>47806.845053191566</v>
      </c>
      <c r="AK54" s="3"/>
      <c r="AL54" s="3"/>
      <c r="AM54" s="5"/>
      <c r="AN54" s="3"/>
      <c r="AO54" s="5"/>
      <c r="AP54" s="5"/>
      <c r="AQ54" s="5"/>
      <c r="AR54" s="5"/>
      <c r="AS54" s="5">
        <f t="shared" si="22"/>
        <v>0</v>
      </c>
      <c r="AX54" s="5">
        <f t="shared" si="24"/>
        <v>0</v>
      </c>
      <c r="AZ54" s="5"/>
      <c r="BA54" s="5"/>
      <c r="BB54" s="5"/>
      <c r="BC54" s="5"/>
      <c r="BD54" s="5"/>
      <c r="BH54" s="5">
        <f t="shared" si="26"/>
        <v>0</v>
      </c>
      <c r="BM54" s="5">
        <f t="shared" si="28"/>
        <v>0</v>
      </c>
      <c r="BR54" s="5">
        <f t="shared" si="30"/>
        <v>0</v>
      </c>
      <c r="BW54" s="5">
        <f t="shared" si="32"/>
        <v>0</v>
      </c>
      <c r="CB54" s="5"/>
      <c r="CC54" s="5"/>
      <c r="CG54" s="5">
        <f t="shared" si="33"/>
        <v>0</v>
      </c>
      <c r="CL54" s="5">
        <f t="shared" si="34"/>
        <v>0</v>
      </c>
    </row>
    <row r="55" spans="1:90" ht="12" customHeight="1" x14ac:dyDescent="0.25">
      <c r="A55" s="29">
        <v>16893</v>
      </c>
      <c r="C55" s="3">
        <v>1870000</v>
      </c>
      <c r="D55" s="3">
        <v>221400</v>
      </c>
      <c r="E55" s="3">
        <v>97157</v>
      </c>
      <c r="L55" s="3">
        <f>C55+F55+I55</f>
        <v>1870000</v>
      </c>
      <c r="M55" s="3">
        <f t="shared" si="35"/>
        <v>221400</v>
      </c>
      <c r="N55" s="3">
        <f t="shared" si="1"/>
        <v>2091400</v>
      </c>
      <c r="O55" s="3">
        <f t="shared" si="2"/>
        <v>97157</v>
      </c>
      <c r="Q55" s="3"/>
      <c r="R55" s="3"/>
      <c r="T55" s="3"/>
      <c r="V55" s="5">
        <f t="shared" si="36"/>
        <v>949852.19542114134</v>
      </c>
      <c r="W55" s="5">
        <f t="shared" si="37"/>
        <v>112458.4363990592</v>
      </c>
      <c r="X55" s="5">
        <f t="shared" si="5"/>
        <v>1062310.6318202005</v>
      </c>
      <c r="Y55" s="5">
        <f t="shared" si="6"/>
        <v>49350.154946808463</v>
      </c>
      <c r="AA55" s="5">
        <f t="shared" si="38"/>
        <v>920147.80457885924</v>
      </c>
      <c r="AB55" s="5">
        <f t="shared" si="39"/>
        <v>108941.56360094088</v>
      </c>
      <c r="AC55" s="5">
        <f t="shared" si="8"/>
        <v>1029089.3681798001</v>
      </c>
      <c r="AD55" s="5">
        <f t="shared" si="9"/>
        <v>47806.845053191566</v>
      </c>
      <c r="AK55" s="3"/>
      <c r="AL55" s="3"/>
      <c r="AM55" s="5"/>
      <c r="AN55" s="3"/>
      <c r="AO55" s="5"/>
      <c r="AP55" s="5"/>
      <c r="AQ55" s="5"/>
      <c r="AR55" s="5"/>
      <c r="AS55" s="5">
        <f t="shared" si="22"/>
        <v>0</v>
      </c>
      <c r="AX55" s="5">
        <f t="shared" si="24"/>
        <v>0</v>
      </c>
      <c r="AZ55" s="5"/>
      <c r="BA55" s="5"/>
      <c r="BB55" s="5"/>
      <c r="BC55" s="5"/>
      <c r="BD55" s="5"/>
      <c r="BH55" s="5">
        <f t="shared" si="26"/>
        <v>0</v>
      </c>
      <c r="BM55" s="5">
        <f t="shared" si="28"/>
        <v>0</v>
      </c>
      <c r="BR55" s="5">
        <f t="shared" si="30"/>
        <v>0</v>
      </c>
      <c r="BW55" s="5">
        <f t="shared" si="32"/>
        <v>0</v>
      </c>
      <c r="CB55" s="5"/>
      <c r="CC55" s="5"/>
      <c r="CG55" s="5">
        <f t="shared" si="33"/>
        <v>0</v>
      </c>
      <c r="CL55" s="5">
        <f t="shared" si="34"/>
        <v>0</v>
      </c>
    </row>
    <row r="56" spans="1:90" ht="12" customHeight="1" x14ac:dyDescent="0.25">
      <c r="A56" s="29">
        <v>17076</v>
      </c>
      <c r="D56" s="3">
        <v>193350</v>
      </c>
      <c r="E56" s="3">
        <v>97157</v>
      </c>
      <c r="M56" s="3">
        <f t="shared" si="35"/>
        <v>193350</v>
      </c>
      <c r="N56" s="3">
        <f t="shared" si="1"/>
        <v>193350</v>
      </c>
      <c r="O56" s="3">
        <f t="shared" si="2"/>
        <v>97157</v>
      </c>
      <c r="Q56" s="3"/>
      <c r="R56" s="3"/>
      <c r="T56" s="3"/>
      <c r="V56" s="5"/>
      <c r="W56" s="5">
        <f t="shared" si="37"/>
        <v>98210.653467742071</v>
      </c>
      <c r="X56" s="5">
        <f t="shared" si="5"/>
        <v>98210.653467742071</v>
      </c>
      <c r="Y56" s="5">
        <f t="shared" si="6"/>
        <v>49350.154946808463</v>
      </c>
      <c r="AB56" s="5">
        <f t="shared" si="39"/>
        <v>95139.346532257987</v>
      </c>
      <c r="AC56" s="5">
        <f t="shared" si="8"/>
        <v>95139.346532257987</v>
      </c>
      <c r="AD56" s="5">
        <f t="shared" si="9"/>
        <v>47806.845053191566</v>
      </c>
      <c r="AK56" s="3"/>
      <c r="AL56" s="3"/>
      <c r="AM56" s="5"/>
      <c r="AN56" s="3"/>
      <c r="AO56" s="5"/>
      <c r="AP56" s="5"/>
      <c r="AQ56" s="5"/>
      <c r="AR56" s="5"/>
      <c r="AS56" s="5">
        <f t="shared" si="22"/>
        <v>0</v>
      </c>
      <c r="AX56" s="5">
        <f t="shared" si="24"/>
        <v>0</v>
      </c>
      <c r="AZ56" s="5"/>
      <c r="BA56" s="5"/>
      <c r="BB56" s="5"/>
      <c r="BC56" s="5"/>
      <c r="BD56" s="5"/>
      <c r="BH56" s="5">
        <f t="shared" si="26"/>
        <v>0</v>
      </c>
      <c r="BM56" s="5">
        <f t="shared" si="28"/>
        <v>0</v>
      </c>
      <c r="BR56" s="5">
        <f t="shared" si="30"/>
        <v>0</v>
      </c>
      <c r="BW56" s="5">
        <f t="shared" si="32"/>
        <v>0</v>
      </c>
      <c r="CB56" s="5"/>
      <c r="CC56" s="5"/>
      <c r="CG56" s="5">
        <f t="shared" si="33"/>
        <v>0</v>
      </c>
      <c r="CL56" s="5">
        <f t="shared" si="34"/>
        <v>0</v>
      </c>
    </row>
    <row r="57" spans="1:90" ht="12" customHeight="1" x14ac:dyDescent="0.25">
      <c r="A57" s="29">
        <v>17258</v>
      </c>
      <c r="C57" s="3">
        <v>1945000</v>
      </c>
      <c r="D57" s="3">
        <v>193350</v>
      </c>
      <c r="E57" s="3">
        <v>97157</v>
      </c>
      <c r="L57" s="3">
        <f>C57+F57+I57</f>
        <v>1945000</v>
      </c>
      <c r="M57" s="3">
        <f t="shared" si="35"/>
        <v>193350</v>
      </c>
      <c r="N57" s="3">
        <f t="shared" si="1"/>
        <v>2138350</v>
      </c>
      <c r="O57" s="3">
        <f t="shared" si="2"/>
        <v>97157</v>
      </c>
      <c r="Q57" s="3"/>
      <c r="R57" s="3"/>
      <c r="T57" s="3"/>
      <c r="V57" s="5">
        <f t="shared" si="36"/>
        <v>987947.87170808553</v>
      </c>
      <c r="W57" s="5">
        <f t="shared" si="37"/>
        <v>98210.653467742071</v>
      </c>
      <c r="X57" s="5">
        <f t="shared" si="5"/>
        <v>1086158.5251758276</v>
      </c>
      <c r="Y57" s="5">
        <f t="shared" si="6"/>
        <v>49350.154946808463</v>
      </c>
      <c r="AA57" s="5">
        <f t="shared" si="38"/>
        <v>957052.12829191517</v>
      </c>
      <c r="AB57" s="5">
        <f t="shared" si="39"/>
        <v>95139.346532257987</v>
      </c>
      <c r="AC57" s="5">
        <f t="shared" si="8"/>
        <v>1052191.4748241731</v>
      </c>
      <c r="AD57" s="5">
        <f t="shared" si="9"/>
        <v>47806.845053191566</v>
      </c>
      <c r="AK57" s="3"/>
      <c r="AL57" s="3"/>
      <c r="AM57" s="5"/>
      <c r="AN57" s="3"/>
      <c r="AO57" s="5"/>
      <c r="AP57" s="5"/>
      <c r="AQ57" s="5"/>
      <c r="AR57" s="5"/>
      <c r="AS57" s="5">
        <f t="shared" si="22"/>
        <v>0</v>
      </c>
      <c r="AX57" s="5">
        <f t="shared" si="24"/>
        <v>0</v>
      </c>
      <c r="AZ57" s="5"/>
      <c r="BA57" s="5"/>
      <c r="BB57" s="5"/>
      <c r="BC57" s="5"/>
      <c r="BD57" s="5"/>
      <c r="BH57" s="5">
        <f t="shared" si="26"/>
        <v>0</v>
      </c>
      <c r="BM57" s="5">
        <f t="shared" si="28"/>
        <v>0</v>
      </c>
      <c r="BR57" s="5">
        <f t="shared" si="30"/>
        <v>0</v>
      </c>
      <c r="BW57" s="5">
        <f t="shared" si="32"/>
        <v>0</v>
      </c>
      <c r="CB57" s="5"/>
      <c r="CC57" s="5"/>
      <c r="CG57" s="5">
        <f t="shared" si="33"/>
        <v>0</v>
      </c>
      <c r="CL57" s="5">
        <f t="shared" si="34"/>
        <v>0</v>
      </c>
    </row>
    <row r="58" spans="1:90" ht="12" customHeight="1" x14ac:dyDescent="0.25">
      <c r="A58" s="29">
        <v>17441</v>
      </c>
      <c r="D58" s="3">
        <v>164175</v>
      </c>
      <c r="E58" s="3">
        <v>97157</v>
      </c>
      <c r="M58" s="3">
        <f t="shared" si="35"/>
        <v>164175</v>
      </c>
      <c r="N58" s="3">
        <f t="shared" si="1"/>
        <v>164175</v>
      </c>
      <c r="O58" s="3">
        <f t="shared" si="2"/>
        <v>97157</v>
      </c>
      <c r="Q58" s="3"/>
      <c r="R58" s="3"/>
      <c r="T58" s="3"/>
      <c r="V58" s="5"/>
      <c r="W58" s="5">
        <f t="shared" si="37"/>
        <v>83391.435392120795</v>
      </c>
      <c r="X58" s="5">
        <f t="shared" si="5"/>
        <v>83391.435392120795</v>
      </c>
      <c r="Y58" s="5">
        <f t="shared" si="6"/>
        <v>49350.154946808463</v>
      </c>
      <c r="AB58" s="5">
        <f t="shared" si="39"/>
        <v>80783.564607879263</v>
      </c>
      <c r="AC58" s="5">
        <f t="shared" si="8"/>
        <v>80783.564607879263</v>
      </c>
      <c r="AD58" s="5">
        <f t="shared" si="9"/>
        <v>47806.845053191566</v>
      </c>
      <c r="AK58" s="3"/>
      <c r="AL58" s="3"/>
      <c r="AM58" s="5"/>
      <c r="AN58" s="3"/>
      <c r="AO58" s="5"/>
      <c r="AP58" s="5"/>
      <c r="AQ58" s="5"/>
      <c r="AR58" s="5"/>
      <c r="AS58" s="5">
        <f t="shared" si="22"/>
        <v>0</v>
      </c>
      <c r="AX58" s="5">
        <f t="shared" si="24"/>
        <v>0</v>
      </c>
      <c r="AZ58" s="5"/>
      <c r="BA58" s="5"/>
      <c r="BB58" s="5"/>
      <c r="BC58" s="5"/>
      <c r="BD58" s="5"/>
      <c r="BH58" s="5">
        <f t="shared" si="26"/>
        <v>0</v>
      </c>
      <c r="BM58" s="5">
        <f t="shared" si="28"/>
        <v>0</v>
      </c>
      <c r="BR58" s="5">
        <f t="shared" si="30"/>
        <v>0</v>
      </c>
      <c r="BW58" s="5">
        <f t="shared" si="32"/>
        <v>0</v>
      </c>
      <c r="CB58" s="5"/>
      <c r="CC58" s="5"/>
      <c r="CG58" s="5">
        <f t="shared" si="33"/>
        <v>0</v>
      </c>
      <c r="CL58" s="5">
        <f t="shared" si="34"/>
        <v>0</v>
      </c>
    </row>
    <row r="59" spans="1:90" ht="12" customHeight="1" x14ac:dyDescent="0.25">
      <c r="A59" s="29">
        <v>17624</v>
      </c>
      <c r="C59" s="3">
        <v>2020000</v>
      </c>
      <c r="D59" s="3">
        <v>164175</v>
      </c>
      <c r="E59" s="3">
        <v>97157</v>
      </c>
      <c r="L59" s="3">
        <f>C59+F59+I59</f>
        <v>2020000</v>
      </c>
      <c r="M59" s="3">
        <f t="shared" si="35"/>
        <v>164175</v>
      </c>
      <c r="N59" s="3">
        <f t="shared" si="1"/>
        <v>2184175</v>
      </c>
      <c r="O59" s="3">
        <f t="shared" si="2"/>
        <v>97157</v>
      </c>
      <c r="Q59" s="3"/>
      <c r="R59" s="3"/>
      <c r="T59" s="3"/>
      <c r="V59" s="5">
        <f t="shared" si="36"/>
        <v>1026043.5479950297</v>
      </c>
      <c r="W59" s="5">
        <f t="shared" si="37"/>
        <v>83391.435392120795</v>
      </c>
      <c r="X59" s="5">
        <f t="shared" si="5"/>
        <v>1109434.9833871506</v>
      </c>
      <c r="Y59" s="5">
        <f t="shared" si="6"/>
        <v>49350.154946808463</v>
      </c>
      <c r="AA59" s="5">
        <f t="shared" si="38"/>
        <v>993956.45200497098</v>
      </c>
      <c r="AB59" s="5">
        <f t="shared" si="39"/>
        <v>80783.564607879263</v>
      </c>
      <c r="AC59" s="5">
        <f t="shared" si="8"/>
        <v>1074740.0166128501</v>
      </c>
      <c r="AD59" s="5">
        <f t="shared" si="9"/>
        <v>47806.845053191566</v>
      </c>
      <c r="AK59" s="3"/>
      <c r="AL59" s="3"/>
      <c r="AM59" s="5"/>
      <c r="AN59" s="3"/>
      <c r="AO59" s="5"/>
      <c r="AP59" s="5"/>
      <c r="AQ59" s="5"/>
      <c r="AR59" s="5"/>
      <c r="AS59" s="5">
        <f t="shared" si="22"/>
        <v>0</v>
      </c>
      <c r="AX59" s="5">
        <f t="shared" si="24"/>
        <v>0</v>
      </c>
      <c r="AZ59" s="5"/>
      <c r="BA59" s="5"/>
      <c r="BB59" s="5"/>
      <c r="BC59" s="5"/>
      <c r="BD59" s="5"/>
      <c r="BH59" s="5">
        <f t="shared" si="26"/>
        <v>0</v>
      </c>
      <c r="BM59" s="5">
        <f t="shared" si="28"/>
        <v>0</v>
      </c>
      <c r="BR59" s="5">
        <f t="shared" si="30"/>
        <v>0</v>
      </c>
      <c r="BW59" s="5">
        <f t="shared" si="32"/>
        <v>0</v>
      </c>
      <c r="CB59" s="5"/>
      <c r="CC59" s="5"/>
      <c r="CG59" s="5">
        <f t="shared" si="33"/>
        <v>0</v>
      </c>
      <c r="CL59" s="5">
        <f t="shared" si="34"/>
        <v>0</v>
      </c>
    </row>
    <row r="60" spans="1:90" ht="12" customHeight="1" x14ac:dyDescent="0.25">
      <c r="A60" s="29">
        <v>17807</v>
      </c>
      <c r="D60" s="3">
        <v>133875</v>
      </c>
      <c r="E60" s="3">
        <v>97157</v>
      </c>
      <c r="M60" s="3">
        <f t="shared" si="35"/>
        <v>133875</v>
      </c>
      <c r="N60" s="3">
        <f t="shared" si="1"/>
        <v>133875</v>
      </c>
      <c r="O60" s="3">
        <f t="shared" si="2"/>
        <v>97157</v>
      </c>
      <c r="Q60" s="3"/>
      <c r="R60" s="3"/>
      <c r="T60" s="3"/>
      <c r="V60" s="5"/>
      <c r="W60" s="5">
        <f t="shared" si="37"/>
        <v>68000.782172195351</v>
      </c>
      <c r="X60" s="5">
        <f t="shared" si="5"/>
        <v>68000.782172195351</v>
      </c>
      <c r="Y60" s="5">
        <f t="shared" si="6"/>
        <v>49350.154946808463</v>
      </c>
      <c r="AB60" s="5">
        <f t="shared" si="39"/>
        <v>65874.217827804692</v>
      </c>
      <c r="AC60" s="5">
        <f t="shared" si="8"/>
        <v>65874.217827804692</v>
      </c>
      <c r="AD60" s="5">
        <f t="shared" si="9"/>
        <v>47806.845053191566</v>
      </c>
      <c r="AK60" s="3"/>
      <c r="AL60" s="3"/>
      <c r="AM60" s="5"/>
      <c r="AN60" s="3"/>
      <c r="AO60" s="5"/>
      <c r="AP60" s="5"/>
      <c r="AQ60" s="5"/>
      <c r="AR60" s="5"/>
      <c r="AS60" s="5">
        <f t="shared" si="22"/>
        <v>0</v>
      </c>
      <c r="AX60" s="5">
        <f t="shared" si="24"/>
        <v>0</v>
      </c>
      <c r="AZ60" s="5"/>
      <c r="BA60" s="5"/>
      <c r="BB60" s="5"/>
      <c r="BC60" s="5"/>
      <c r="BD60" s="5"/>
      <c r="BH60" s="5">
        <f t="shared" si="26"/>
        <v>0</v>
      </c>
      <c r="BM60" s="5">
        <f t="shared" si="28"/>
        <v>0</v>
      </c>
      <c r="BR60" s="5">
        <f t="shared" si="30"/>
        <v>0</v>
      </c>
      <c r="BW60" s="5">
        <f t="shared" si="32"/>
        <v>0</v>
      </c>
      <c r="CB60" s="5"/>
      <c r="CC60" s="5"/>
      <c r="CG60" s="5">
        <f t="shared" si="33"/>
        <v>0</v>
      </c>
      <c r="CL60" s="5">
        <f t="shared" si="34"/>
        <v>0</v>
      </c>
    </row>
    <row r="61" spans="1:90" ht="12" customHeight="1" x14ac:dyDescent="0.25">
      <c r="A61" s="29">
        <v>17989</v>
      </c>
      <c r="C61" s="3">
        <v>2100000</v>
      </c>
      <c r="D61" s="3">
        <v>133875</v>
      </c>
      <c r="E61" s="3">
        <v>97157</v>
      </c>
      <c r="L61" s="3">
        <f>C61+F61+I61</f>
        <v>2100000</v>
      </c>
      <c r="M61" s="3">
        <f t="shared" si="35"/>
        <v>133875</v>
      </c>
      <c r="N61" s="3">
        <f t="shared" si="1"/>
        <v>2233875</v>
      </c>
      <c r="O61" s="3">
        <f t="shared" si="2"/>
        <v>97157</v>
      </c>
      <c r="Q61" s="3"/>
      <c r="R61" s="3"/>
      <c r="T61" s="3"/>
      <c r="V61" s="5">
        <f t="shared" si="36"/>
        <v>1066678.9360344368</v>
      </c>
      <c r="W61" s="5">
        <f t="shared" si="37"/>
        <v>68000.782172195351</v>
      </c>
      <c r="X61" s="5">
        <f t="shared" si="5"/>
        <v>1134679.7182066322</v>
      </c>
      <c r="Y61" s="5">
        <f t="shared" si="6"/>
        <v>49350.154946808463</v>
      </c>
      <c r="AA61" s="5">
        <f t="shared" si="38"/>
        <v>1033321.0639655639</v>
      </c>
      <c r="AB61" s="5">
        <f t="shared" si="39"/>
        <v>65874.217827804692</v>
      </c>
      <c r="AC61" s="5">
        <f t="shared" si="8"/>
        <v>1099195.2817933685</v>
      </c>
      <c r="AD61" s="5">
        <f t="shared" si="9"/>
        <v>47806.845053191566</v>
      </c>
      <c r="AK61" s="3"/>
      <c r="AL61" s="3"/>
      <c r="AM61" s="5"/>
      <c r="AN61" s="3"/>
      <c r="AO61" s="5"/>
      <c r="AP61" s="5"/>
      <c r="AQ61" s="5"/>
      <c r="AR61" s="5"/>
      <c r="AS61" s="5">
        <f t="shared" si="22"/>
        <v>0</v>
      </c>
      <c r="AX61" s="5">
        <f t="shared" si="24"/>
        <v>0</v>
      </c>
      <c r="AZ61" s="5"/>
      <c r="BA61" s="5"/>
      <c r="BB61" s="5"/>
      <c r="BC61" s="5"/>
      <c r="BD61" s="5"/>
      <c r="BH61" s="5">
        <f t="shared" si="26"/>
        <v>0</v>
      </c>
      <c r="BM61" s="5">
        <f t="shared" si="28"/>
        <v>0</v>
      </c>
      <c r="BR61" s="5">
        <f t="shared" si="30"/>
        <v>0</v>
      </c>
      <c r="BW61" s="5">
        <f t="shared" si="32"/>
        <v>0</v>
      </c>
      <c r="CB61" s="5"/>
      <c r="CC61" s="5"/>
      <c r="CG61" s="5">
        <f t="shared" si="33"/>
        <v>0</v>
      </c>
      <c r="CL61" s="5">
        <f t="shared" si="34"/>
        <v>0</v>
      </c>
    </row>
    <row r="62" spans="1:90" ht="12" customHeight="1" x14ac:dyDescent="0.25">
      <c r="A62" s="29">
        <v>18172</v>
      </c>
      <c r="D62" s="3">
        <v>102375</v>
      </c>
      <c r="E62" s="3">
        <v>97157</v>
      </c>
      <c r="M62" s="3">
        <f t="shared" si="35"/>
        <v>102375</v>
      </c>
      <c r="N62" s="3">
        <f t="shared" si="1"/>
        <v>102375</v>
      </c>
      <c r="O62" s="3">
        <f t="shared" si="2"/>
        <v>97157</v>
      </c>
      <c r="Q62" s="3"/>
      <c r="R62" s="3"/>
      <c r="T62" s="3"/>
      <c r="V62" s="5"/>
      <c r="W62" s="5">
        <f t="shared" si="37"/>
        <v>52000.598131678795</v>
      </c>
      <c r="X62" s="5">
        <f t="shared" si="5"/>
        <v>52000.598131678795</v>
      </c>
      <c r="Y62" s="5">
        <f t="shared" si="6"/>
        <v>49350.154946808463</v>
      </c>
      <c r="AB62" s="5">
        <f t="shared" si="39"/>
        <v>50374.401868321242</v>
      </c>
      <c r="AC62" s="5">
        <f t="shared" si="8"/>
        <v>50374.401868321242</v>
      </c>
      <c r="AD62" s="5">
        <f t="shared" si="9"/>
        <v>47806.845053191566</v>
      </c>
      <c r="AK62" s="3"/>
      <c r="AL62" s="3"/>
      <c r="AM62" s="5"/>
      <c r="AN62" s="3"/>
      <c r="AO62" s="5"/>
      <c r="AP62" s="5"/>
      <c r="AQ62" s="5"/>
      <c r="AR62" s="5"/>
      <c r="AS62" s="5">
        <f t="shared" si="22"/>
        <v>0</v>
      </c>
      <c r="AX62" s="5">
        <f t="shared" si="24"/>
        <v>0</v>
      </c>
      <c r="AZ62" s="5"/>
      <c r="BA62" s="5"/>
      <c r="BB62" s="5"/>
      <c r="BC62" s="5"/>
      <c r="BD62" s="5"/>
      <c r="BH62" s="5">
        <f t="shared" si="26"/>
        <v>0</v>
      </c>
      <c r="BM62" s="5">
        <f t="shared" si="28"/>
        <v>0</v>
      </c>
      <c r="BR62" s="5">
        <f t="shared" si="30"/>
        <v>0</v>
      </c>
      <c r="BW62" s="5">
        <f t="shared" si="32"/>
        <v>0</v>
      </c>
      <c r="CB62" s="5"/>
      <c r="CC62" s="5"/>
      <c r="CG62" s="5">
        <f t="shared" si="33"/>
        <v>0</v>
      </c>
      <c r="CL62" s="5">
        <f t="shared" si="34"/>
        <v>0</v>
      </c>
    </row>
    <row r="63" spans="1:90" ht="12" customHeight="1" x14ac:dyDescent="0.25">
      <c r="A63" s="29">
        <v>18354</v>
      </c>
      <c r="C63" s="3">
        <v>2185000</v>
      </c>
      <c r="D63" s="3">
        <v>102375</v>
      </c>
      <c r="E63" s="3">
        <v>97157</v>
      </c>
      <c r="L63" s="3">
        <f>C63+F63+I63</f>
        <v>2185000</v>
      </c>
      <c r="M63" s="3">
        <f t="shared" si="35"/>
        <v>102375</v>
      </c>
      <c r="N63" s="3">
        <f t="shared" si="1"/>
        <v>2287375</v>
      </c>
      <c r="O63" s="3">
        <f t="shared" si="2"/>
        <v>97157</v>
      </c>
      <c r="Q63" s="3"/>
      <c r="R63" s="3"/>
      <c r="T63" s="3"/>
      <c r="V63" s="5">
        <f t="shared" si="36"/>
        <v>1109854.0358263068</v>
      </c>
      <c r="W63" s="5">
        <f t="shared" si="37"/>
        <v>52000.598131678795</v>
      </c>
      <c r="X63" s="5">
        <f t="shared" si="5"/>
        <v>1161854.6339579856</v>
      </c>
      <c r="Y63" s="5">
        <f t="shared" si="6"/>
        <v>49350.154946808463</v>
      </c>
      <c r="AA63" s="5">
        <f t="shared" si="38"/>
        <v>1075145.9641736939</v>
      </c>
      <c r="AB63" s="5">
        <f t="shared" si="39"/>
        <v>50374.401868321242</v>
      </c>
      <c r="AC63" s="5">
        <f t="shared" si="8"/>
        <v>1125520.3660420151</v>
      </c>
      <c r="AD63" s="5">
        <f t="shared" si="9"/>
        <v>47806.845053191566</v>
      </c>
      <c r="AK63" s="3"/>
      <c r="AL63" s="3"/>
      <c r="AM63" s="5"/>
      <c r="AN63" s="3"/>
      <c r="AO63" s="5"/>
      <c r="AP63" s="5"/>
      <c r="AQ63" s="5"/>
      <c r="AR63" s="5"/>
      <c r="AS63" s="5">
        <f t="shared" si="22"/>
        <v>0</v>
      </c>
      <c r="AX63" s="5">
        <f t="shared" si="24"/>
        <v>0</v>
      </c>
      <c r="AZ63" s="5"/>
      <c r="BA63" s="5"/>
      <c r="BB63" s="5"/>
      <c r="BC63" s="5"/>
      <c r="BD63" s="5"/>
      <c r="BH63" s="5">
        <f t="shared" si="26"/>
        <v>0</v>
      </c>
      <c r="BM63" s="5">
        <f t="shared" si="28"/>
        <v>0</v>
      </c>
      <c r="BR63" s="5">
        <f t="shared" si="30"/>
        <v>0</v>
      </c>
      <c r="BW63" s="5">
        <f t="shared" si="32"/>
        <v>0</v>
      </c>
      <c r="CB63" s="5"/>
      <c r="CC63" s="5"/>
      <c r="CG63" s="5">
        <f t="shared" si="33"/>
        <v>0</v>
      </c>
      <c r="CL63" s="5">
        <f t="shared" si="34"/>
        <v>0</v>
      </c>
    </row>
    <row r="64" spans="1:90" ht="12" customHeight="1" x14ac:dyDescent="0.25">
      <c r="A64" s="29">
        <v>18537</v>
      </c>
      <c r="D64" s="3">
        <v>69600</v>
      </c>
      <c r="E64" s="3">
        <v>97157</v>
      </c>
      <c r="M64" s="3">
        <f t="shared" si="35"/>
        <v>69600</v>
      </c>
      <c r="N64" s="3">
        <f t="shared" si="1"/>
        <v>69600</v>
      </c>
      <c r="O64" s="3">
        <f t="shared" si="2"/>
        <v>97157</v>
      </c>
      <c r="Q64" s="3"/>
      <c r="R64" s="3"/>
      <c r="T64" s="3"/>
      <c r="V64" s="5"/>
      <c r="W64" s="5">
        <f t="shared" si="37"/>
        <v>35352.787594284193</v>
      </c>
      <c r="X64" s="5">
        <f t="shared" si="5"/>
        <v>35352.787594284193</v>
      </c>
      <c r="Y64" s="5">
        <f t="shared" si="6"/>
        <v>49350.154946808463</v>
      </c>
      <c r="AB64" s="5">
        <f t="shared" si="39"/>
        <v>34247.212405715829</v>
      </c>
      <c r="AC64" s="5">
        <f t="shared" si="8"/>
        <v>34247.212405715829</v>
      </c>
      <c r="AD64" s="5">
        <f t="shared" si="9"/>
        <v>47806.845053191566</v>
      </c>
      <c r="AK64" s="3"/>
      <c r="AL64" s="3"/>
      <c r="AM64" s="5"/>
      <c r="AN64" s="3"/>
      <c r="AO64" s="5"/>
      <c r="AP64" s="5"/>
      <c r="AQ64" s="5"/>
      <c r="AR64" s="5"/>
      <c r="AS64" s="5">
        <f t="shared" si="22"/>
        <v>0</v>
      </c>
      <c r="AX64" s="5">
        <f t="shared" si="24"/>
        <v>0</v>
      </c>
      <c r="AZ64" s="5"/>
      <c r="BA64" s="5"/>
      <c r="BB64" s="5"/>
      <c r="BC64" s="5"/>
      <c r="BD64" s="5"/>
      <c r="BH64" s="5">
        <f t="shared" si="26"/>
        <v>0</v>
      </c>
      <c r="BM64" s="5">
        <f t="shared" si="28"/>
        <v>0</v>
      </c>
      <c r="BR64" s="5">
        <f t="shared" si="30"/>
        <v>0</v>
      </c>
      <c r="BW64" s="5">
        <f t="shared" si="32"/>
        <v>0</v>
      </c>
      <c r="CB64" s="5"/>
      <c r="CC64" s="5"/>
      <c r="CG64" s="5">
        <f t="shared" si="33"/>
        <v>0</v>
      </c>
      <c r="CL64" s="5">
        <f t="shared" si="34"/>
        <v>0</v>
      </c>
    </row>
    <row r="65" spans="1:90" ht="12" customHeight="1" x14ac:dyDescent="0.25">
      <c r="A65" s="29">
        <v>18719</v>
      </c>
      <c r="C65" s="3">
        <v>2275000</v>
      </c>
      <c r="D65" s="3">
        <v>69600</v>
      </c>
      <c r="E65" s="3">
        <v>97157</v>
      </c>
      <c r="L65" s="3">
        <f>C65+F65+I65</f>
        <v>2275000</v>
      </c>
      <c r="M65" s="3">
        <f t="shared" si="35"/>
        <v>69600</v>
      </c>
      <c r="N65" s="3">
        <f t="shared" si="1"/>
        <v>2344600</v>
      </c>
      <c r="O65" s="3">
        <f t="shared" si="2"/>
        <v>97157</v>
      </c>
      <c r="Q65" s="3"/>
      <c r="R65" s="3"/>
      <c r="T65" s="3"/>
      <c r="V65" s="5">
        <f t="shared" si="36"/>
        <v>1155568.8473706399</v>
      </c>
      <c r="W65" s="5">
        <f t="shared" si="37"/>
        <v>35352.787594284193</v>
      </c>
      <c r="X65" s="5">
        <f t="shared" si="5"/>
        <v>1190921.6349649241</v>
      </c>
      <c r="Y65" s="5">
        <f t="shared" si="6"/>
        <v>49350.154946808463</v>
      </c>
      <c r="AA65" s="5">
        <f t="shared" si="38"/>
        <v>1119431.1526293608</v>
      </c>
      <c r="AB65" s="5">
        <f t="shared" si="39"/>
        <v>34247.212405715829</v>
      </c>
      <c r="AC65" s="5">
        <f t="shared" si="8"/>
        <v>1153678.3650350766</v>
      </c>
      <c r="AD65" s="5">
        <f t="shared" si="9"/>
        <v>47806.845053191566</v>
      </c>
      <c r="AK65" s="3"/>
      <c r="AL65" s="3"/>
      <c r="AM65" s="5"/>
      <c r="AN65" s="3"/>
      <c r="AO65" s="5"/>
      <c r="AP65" s="5"/>
      <c r="AQ65" s="5"/>
      <c r="AR65" s="5"/>
      <c r="AS65" s="5">
        <f t="shared" si="22"/>
        <v>0</v>
      </c>
      <c r="AX65" s="5">
        <f t="shared" si="24"/>
        <v>0</v>
      </c>
      <c r="AZ65" s="5"/>
      <c r="BA65" s="5"/>
      <c r="BB65" s="5"/>
      <c r="BC65" s="5"/>
      <c r="BD65" s="5"/>
      <c r="BH65" s="5">
        <f t="shared" si="26"/>
        <v>0</v>
      </c>
      <c r="BM65" s="5">
        <f t="shared" si="28"/>
        <v>0</v>
      </c>
      <c r="BR65" s="5">
        <f t="shared" si="30"/>
        <v>0</v>
      </c>
      <c r="BW65" s="5">
        <f t="shared" si="32"/>
        <v>0</v>
      </c>
      <c r="CB65" s="5"/>
      <c r="CC65" s="5"/>
      <c r="CG65" s="5">
        <f t="shared" si="33"/>
        <v>0</v>
      </c>
      <c r="CL65" s="5">
        <f t="shared" si="34"/>
        <v>0</v>
      </c>
    </row>
    <row r="66" spans="1:90" ht="12" customHeight="1" x14ac:dyDescent="0.25">
      <c r="A66" s="29">
        <v>18902</v>
      </c>
      <c r="D66" s="3">
        <v>35457</v>
      </c>
      <c r="E66" s="3">
        <v>97157</v>
      </c>
      <c r="M66" s="3">
        <f t="shared" si="35"/>
        <v>35457</v>
      </c>
      <c r="N66" s="3">
        <f t="shared" si="1"/>
        <v>35457</v>
      </c>
      <c r="O66" s="3">
        <f t="shared" si="2"/>
        <v>97157</v>
      </c>
      <c r="Q66" s="3"/>
      <c r="R66" s="3"/>
      <c r="T66" s="3"/>
      <c r="V66" s="5"/>
      <c r="W66" s="5">
        <f t="shared" si="37"/>
        <v>18010.111921415726</v>
      </c>
      <c r="X66" s="5">
        <f t="shared" si="5"/>
        <v>18010.111921415726</v>
      </c>
      <c r="Y66" s="5">
        <f t="shared" si="6"/>
        <v>49350.154946808463</v>
      </c>
      <c r="AB66" s="5">
        <f t="shared" si="39"/>
        <v>17446.888078584285</v>
      </c>
      <c r="AC66" s="5">
        <f t="shared" si="8"/>
        <v>17446.888078584285</v>
      </c>
      <c r="AD66" s="5">
        <f t="shared" si="9"/>
        <v>47806.845053191566</v>
      </c>
      <c r="AK66" s="3"/>
      <c r="AL66" s="3"/>
      <c r="AM66" s="5"/>
      <c r="AN66" s="3"/>
      <c r="AO66" s="5"/>
      <c r="AP66" s="5"/>
      <c r="AQ66" s="5"/>
      <c r="AR66" s="5"/>
      <c r="AS66" s="5">
        <f t="shared" si="22"/>
        <v>0</v>
      </c>
      <c r="AX66" s="5">
        <f t="shared" si="24"/>
        <v>0</v>
      </c>
      <c r="AZ66" s="5"/>
      <c r="BA66" s="5"/>
      <c r="BB66" s="5"/>
      <c r="BC66" s="5"/>
      <c r="BD66" s="5"/>
      <c r="BH66" s="5">
        <f t="shared" si="26"/>
        <v>0</v>
      </c>
      <c r="BM66" s="5">
        <f t="shared" si="28"/>
        <v>0</v>
      </c>
      <c r="BR66" s="5">
        <f t="shared" si="30"/>
        <v>0</v>
      </c>
      <c r="BW66" s="5">
        <f t="shared" si="32"/>
        <v>0</v>
      </c>
      <c r="CB66" s="5"/>
      <c r="CC66" s="5"/>
      <c r="CG66" s="5">
        <f t="shared" si="33"/>
        <v>0</v>
      </c>
      <c r="CL66" s="5">
        <f t="shared" si="34"/>
        <v>0</v>
      </c>
    </row>
    <row r="67" spans="1:90" ht="12" customHeight="1" x14ac:dyDescent="0.25">
      <c r="A67" s="29">
        <v>19085</v>
      </c>
      <c r="C67" s="3">
        <v>2365000</v>
      </c>
      <c r="D67" s="3">
        <v>35475</v>
      </c>
      <c r="E67" s="3">
        <v>97157</v>
      </c>
      <c r="L67" s="3">
        <f>C67+F67+I67</f>
        <v>2365000</v>
      </c>
      <c r="M67" s="3">
        <f t="shared" si="35"/>
        <v>35475</v>
      </c>
      <c r="N67" s="3">
        <f t="shared" si="1"/>
        <v>2400475</v>
      </c>
      <c r="O67" s="3">
        <f t="shared" si="2"/>
        <v>97157</v>
      </c>
      <c r="Q67" s="3"/>
      <c r="R67" s="3"/>
      <c r="T67" s="3"/>
      <c r="V67" s="5">
        <f t="shared" si="36"/>
        <v>1201283.6589149728</v>
      </c>
      <c r="W67" s="5">
        <f t="shared" si="37"/>
        <v>18019.254883724592</v>
      </c>
      <c r="X67" s="5">
        <f t="shared" si="5"/>
        <v>1219302.9137986973</v>
      </c>
      <c r="Y67" s="5">
        <f t="shared" si="6"/>
        <v>49350.154946808463</v>
      </c>
      <c r="AA67" s="5">
        <f t="shared" si="38"/>
        <v>1163716.3410850279</v>
      </c>
      <c r="AB67" s="5">
        <f t="shared" si="39"/>
        <v>17455.745116275419</v>
      </c>
      <c r="AC67" s="5">
        <f t="shared" si="8"/>
        <v>1181172.0862013034</v>
      </c>
      <c r="AD67" s="5">
        <f t="shared" si="9"/>
        <v>47806.845053191566</v>
      </c>
      <c r="AK67" s="3"/>
      <c r="AL67" s="3"/>
      <c r="AM67" s="5"/>
      <c r="AN67" s="3"/>
      <c r="AO67" s="5"/>
      <c r="AP67" s="5"/>
      <c r="AQ67" s="5"/>
      <c r="AR67" s="5"/>
      <c r="AS67" s="5">
        <f t="shared" si="22"/>
        <v>0</v>
      </c>
      <c r="AX67" s="5">
        <f t="shared" si="24"/>
        <v>0</v>
      </c>
      <c r="AZ67" s="5"/>
      <c r="BA67" s="5"/>
      <c r="BB67" s="5"/>
      <c r="BC67" s="5"/>
      <c r="BD67" s="5"/>
      <c r="BH67" s="5">
        <f t="shared" si="26"/>
        <v>0</v>
      </c>
      <c r="BM67" s="5">
        <f t="shared" si="28"/>
        <v>0</v>
      </c>
      <c r="BR67" s="5">
        <f t="shared" si="30"/>
        <v>0</v>
      </c>
      <c r="BW67" s="5">
        <f t="shared" si="32"/>
        <v>0</v>
      </c>
      <c r="CB67" s="5"/>
      <c r="CC67" s="5"/>
      <c r="CG67" s="5">
        <f t="shared" si="33"/>
        <v>0</v>
      </c>
      <c r="CL67" s="5">
        <f t="shared" si="34"/>
        <v>0</v>
      </c>
    </row>
    <row r="68" spans="1:90" ht="12" customHeight="1" x14ac:dyDescent="0.25">
      <c r="V68" s="5"/>
      <c r="W68" s="5"/>
      <c r="X68" s="5"/>
      <c r="Y68" s="5"/>
      <c r="AK68" s="5"/>
      <c r="AL68" s="3"/>
      <c r="AM68" s="5"/>
      <c r="AN68" s="3"/>
      <c r="AO68" s="5"/>
      <c r="AP68" s="5"/>
      <c r="AQ68" s="5"/>
      <c r="AR68" s="5"/>
      <c r="AS68" s="5"/>
      <c r="AZ68" s="5"/>
      <c r="BA68" s="5"/>
      <c r="BB68" s="5"/>
      <c r="BC68" s="5"/>
      <c r="BD68" s="5"/>
      <c r="CB68" s="5"/>
      <c r="CC68" s="5"/>
      <c r="CL68" s="5"/>
    </row>
    <row r="69" spans="1:90" ht="12" customHeight="1" thickBot="1" x14ac:dyDescent="0.3">
      <c r="A69" s="31" t="s">
        <v>4</v>
      </c>
      <c r="C69" s="32">
        <f t="shared" ref="C69:O69" si="40">SUM(C10:C68)</f>
        <v>45695000</v>
      </c>
      <c r="D69" s="32">
        <f t="shared" si="40"/>
        <v>24654182</v>
      </c>
      <c r="E69" s="32">
        <f t="shared" si="40"/>
        <v>5635087</v>
      </c>
      <c r="F69" s="32">
        <f t="shared" si="40"/>
        <v>34625000</v>
      </c>
      <c r="G69" s="32">
        <f t="shared" si="40"/>
        <v>13181200</v>
      </c>
      <c r="H69" s="32">
        <f t="shared" si="40"/>
        <v>4287567</v>
      </c>
      <c r="I69" s="32">
        <f t="shared" si="40"/>
        <v>19315000</v>
      </c>
      <c r="J69" s="32">
        <f t="shared" si="40"/>
        <v>5142250</v>
      </c>
      <c r="K69" s="32">
        <f t="shared" si="40"/>
        <v>2327537</v>
      </c>
      <c r="L69" s="32">
        <f t="shared" si="40"/>
        <v>99635000</v>
      </c>
      <c r="M69" s="32">
        <f t="shared" si="40"/>
        <v>42977632</v>
      </c>
      <c r="N69" s="32">
        <f t="shared" si="40"/>
        <v>142612632</v>
      </c>
      <c r="O69" s="32">
        <f t="shared" si="40"/>
        <v>12250191</v>
      </c>
      <c r="Q69" s="32">
        <f>SUM(Q10:Q68)</f>
        <v>19314999.999999996</v>
      </c>
      <c r="R69" s="32">
        <f>SUM(R10:R68)</f>
        <v>5142250</v>
      </c>
      <c r="S69" s="32">
        <f>SUM(S10:S68)</f>
        <v>24457250</v>
      </c>
      <c r="T69" s="32">
        <f>SUM(T10:T68)</f>
        <v>2327536.9999999995</v>
      </c>
      <c r="V69" s="32">
        <f>SUM(V10:V68)</f>
        <v>23210425.705758851</v>
      </c>
      <c r="W69" s="32">
        <f>SUM(W10:W68)</f>
        <v>12517366.634302245</v>
      </c>
      <c r="X69" s="32">
        <f>SUM(X10:X68)</f>
        <v>35727792.340061083</v>
      </c>
      <c r="Y69" s="32">
        <f>SUM(Y10:Y68)</f>
        <v>2861618.8912795256</v>
      </c>
      <c r="AA69" s="32">
        <f>SUM(AA10:AA68)</f>
        <v>22484574.294241164</v>
      </c>
      <c r="AB69" s="32">
        <f>SUM(AB10:AB68)</f>
        <v>12131278.844129302</v>
      </c>
      <c r="AC69" s="32">
        <f>SUM(AC10:AC68)</f>
        <v>34615853.138370477</v>
      </c>
      <c r="AD69" s="32">
        <f>SUM(AD10:AD68)</f>
        <v>2772787.6638277126</v>
      </c>
      <c r="AE69" s="32"/>
      <c r="AF69" s="32">
        <f>SUM(AF10:AF68)</f>
        <v>24601817.061269797</v>
      </c>
      <c r="AG69" s="32">
        <f>SUM(AG10:AG68)</f>
        <v>9057492.0399210099</v>
      </c>
      <c r="AH69" s="32">
        <f>SUM(AH10:AH68)</f>
        <v>33659309.101190805</v>
      </c>
      <c r="AI69" s="32">
        <f>SUM(AI10:AI68)</f>
        <v>2997805.868249448</v>
      </c>
      <c r="AK69" s="32">
        <f>SUM(AK10:AK68)</f>
        <v>10023182.805786457</v>
      </c>
      <c r="AL69" s="32">
        <f>SUM(AL10:AL68)</f>
        <v>4123707.8866039328</v>
      </c>
      <c r="AM69" s="32">
        <f>SUM(AM10:AM68)</f>
        <v>14146890.692390386</v>
      </c>
      <c r="AN69" s="32">
        <f>SUM(AN10:AN68)</f>
        <v>1289761.1191981046</v>
      </c>
      <c r="AO69" s="3"/>
      <c r="AP69" s="32">
        <f>SUM(AP10:AP62)</f>
        <v>6806.5560383772599</v>
      </c>
      <c r="AQ69" s="32">
        <f>SUM(AQ10:AQ62)</f>
        <v>2461.3791827292716</v>
      </c>
      <c r="AR69" s="32">
        <f>SUM(AR10:AR62)</f>
        <v>9267.9352211065288</v>
      </c>
      <c r="AS69" s="32">
        <f>SUM(AS10:AS62)</f>
        <v>820.66040149100343</v>
      </c>
      <c r="AU69" s="32">
        <f>SUM(AU10:AU62)</f>
        <v>317977.87177463679</v>
      </c>
      <c r="AV69" s="32">
        <f>SUM(AV10:AV62)</f>
        <v>119699.00945130426</v>
      </c>
      <c r="AW69" s="32">
        <f>SUM(AW10:AW62)</f>
        <v>437676.88122594112</v>
      </c>
      <c r="AX69" s="32">
        <f>SUM(AX10:AX62)</f>
        <v>39143.261883052372</v>
      </c>
      <c r="AZ69" s="32">
        <f>SUM(AZ10:AZ62)</f>
        <v>0</v>
      </c>
      <c r="BA69" s="32">
        <f>SUM(BA10:BA62)</f>
        <v>37212.790574662511</v>
      </c>
      <c r="BB69" s="32">
        <f>SUM(BB10:BB62)</f>
        <v>37212.790574662511</v>
      </c>
      <c r="BC69" s="32">
        <f>SUM(BC10:BC62)</f>
        <v>6356.7976873850021</v>
      </c>
      <c r="BD69" s="3"/>
      <c r="BE69" s="32">
        <f>SUM(BE10:BE62)</f>
        <v>105741.42587947764</v>
      </c>
      <c r="BF69" s="32">
        <f>SUM(BF10:BF62)</f>
        <v>39716.019232389772</v>
      </c>
      <c r="BG69" s="32">
        <f>SUM(BG10:BG62)</f>
        <v>145457.44511186742</v>
      </c>
      <c r="BH69" s="32">
        <f>SUM(BH10:BH62)</f>
        <v>13004.247109143902</v>
      </c>
      <c r="BI69" s="3"/>
      <c r="BJ69" s="32">
        <f>SUM(BJ10:BJ62)</f>
        <v>7349139.5910856845</v>
      </c>
      <c r="BK69" s="32">
        <f>SUM(BK10:BK62)</f>
        <v>2685771.7962364419</v>
      </c>
      <c r="BL69" s="32">
        <f>SUM(BL10:BL62)</f>
        <v>10034911.387322126</v>
      </c>
      <c r="BM69" s="32">
        <f>SUM(BM10:BM62)</f>
        <v>891800.55703589297</v>
      </c>
      <c r="BN69" s="3"/>
      <c r="BO69" s="32">
        <f>SUM(BO10:BO62)</f>
        <v>1950334.2399164308</v>
      </c>
      <c r="BP69" s="32">
        <f>SUM(BP10:BP62)</f>
        <v>709978.5635989072</v>
      </c>
      <c r="BQ69" s="32">
        <f>SUM(BQ10:BQ62)</f>
        <v>2660312.8035153379</v>
      </c>
      <c r="BR69" s="32">
        <f>SUM(BR10:BR62)</f>
        <v>235970.74777520873</v>
      </c>
      <c r="BS69" s="3"/>
      <c r="BT69" s="32">
        <f>SUM(BT10:BT62)</f>
        <v>45599.777636059778</v>
      </c>
      <c r="BU69" s="32">
        <f>SUM(BU10:BU62)</f>
        <v>16177.895384294341</v>
      </c>
      <c r="BV69" s="32">
        <f>SUM(BV10:BV62)</f>
        <v>61777.673020354137</v>
      </c>
      <c r="BW69" s="32">
        <f>SUM(BW10:BW62)</f>
        <v>5540.6062332142828</v>
      </c>
      <c r="BX69" s="3"/>
      <c r="BY69" s="32">
        <f>SUM(BY10:BY62)</f>
        <v>0</v>
      </c>
      <c r="BZ69" s="32">
        <f>SUM(BZ10:BZ62)</f>
        <v>5536.5215684576051</v>
      </c>
      <c r="CA69" s="32">
        <f>SUM(CA10:CA62)</f>
        <v>5536.5215684576051</v>
      </c>
      <c r="CB69" s="32">
        <f>SUM(CB10:CB62)</f>
        <v>790.29620541311033</v>
      </c>
      <c r="CC69" s="5"/>
      <c r="CD69" s="32">
        <f>SUM(CD10:CD62)</f>
        <v>247583.34345578845</v>
      </c>
      <c r="CE69" s="32">
        <f>SUM(CE10:CE62)</f>
        <v>512690.43294320372</v>
      </c>
      <c r="CF69" s="32">
        <f>SUM(CF10:CF62)</f>
        <v>760273.77639899263</v>
      </c>
      <c r="CG69" s="32">
        <f>SUM(CG10:CG62)</f>
        <v>97124.241072716875</v>
      </c>
      <c r="CI69" s="32">
        <f>SUM(CI10:CI62)</f>
        <v>0</v>
      </c>
      <c r="CJ69" s="32">
        <f>SUM(CJ10:CJ62)</f>
        <v>0</v>
      </c>
      <c r="CK69" s="32">
        <f>SUM(CK10:CK62)</f>
        <v>0</v>
      </c>
      <c r="CL69" s="32">
        <f>SUM(CL10:CL62)</f>
        <v>0</v>
      </c>
    </row>
    <row r="70" spans="1:90" ht="13.8" thickTop="1" x14ac:dyDescent="0.25">
      <c r="V70" s="5"/>
      <c r="W70" s="5"/>
      <c r="X70" s="5"/>
      <c r="Y70" s="5"/>
      <c r="BY70" s="5"/>
      <c r="BZ70" s="5"/>
      <c r="CA70" s="5"/>
      <c r="CB70" s="5"/>
      <c r="CC70" s="5"/>
    </row>
    <row r="71" spans="1:90" x14ac:dyDescent="0.25">
      <c r="C71" s="3">
        <f>V69+AA69+BY69</f>
        <v>45695000.000000015</v>
      </c>
      <c r="D71" s="3">
        <f>W69+AB69+BZ69</f>
        <v>24654182.000000004</v>
      </c>
      <c r="F71" s="3">
        <f>AF69+AK69</f>
        <v>34624999.867056251</v>
      </c>
      <c r="G71" s="3">
        <f>AG69+AL69</f>
        <v>13181199.926524943</v>
      </c>
      <c r="I71" s="3">
        <f>Q69</f>
        <v>19314999.999999996</v>
      </c>
      <c r="J71" s="3">
        <f>R69</f>
        <v>5142250</v>
      </c>
      <c r="K71" s="3">
        <f>T69</f>
        <v>2327536.9999999995</v>
      </c>
      <c r="L71" s="3">
        <f>Q69+V69+AA69+AF69+AK69</f>
        <v>99634999.86705628</v>
      </c>
      <c r="M71" s="3">
        <f>R69+W69+AB69+AG69+AL69+BZ69</f>
        <v>42977631.926524945</v>
      </c>
      <c r="O71" s="3">
        <f>T69+Y69+AD69+AI69+AN69+CB69</f>
        <v>12250300.838760203</v>
      </c>
      <c r="P71" s="3"/>
      <c r="V71" s="5"/>
      <c r="W71" s="5"/>
      <c r="X71" s="5"/>
      <c r="Y71" s="5"/>
      <c r="AL71" s="5"/>
      <c r="AN71" s="5"/>
      <c r="BY71" s="5"/>
      <c r="BZ71" s="5"/>
      <c r="CA71" s="5"/>
      <c r="CB71" s="5"/>
      <c r="CC71" s="5"/>
    </row>
    <row r="72" spans="1:90" x14ac:dyDescent="0.25">
      <c r="V72" s="5"/>
      <c r="W72" s="5"/>
      <c r="X72" s="5"/>
      <c r="Y72" s="5"/>
      <c r="BY72" s="5"/>
      <c r="BZ72" s="5"/>
      <c r="CA72" s="5"/>
      <c r="CB72" s="5"/>
      <c r="CC72" s="5"/>
    </row>
    <row r="73" spans="1:90" x14ac:dyDescent="0.25">
      <c r="V73" s="5"/>
      <c r="W73" s="5"/>
      <c r="X73" s="5"/>
      <c r="Y73" s="5"/>
      <c r="AK73" s="5"/>
      <c r="AL73" s="5"/>
      <c r="AN73" s="5"/>
      <c r="AP73" s="5"/>
      <c r="AQ73" s="5"/>
      <c r="AZ73" s="5"/>
      <c r="BA73" s="5"/>
      <c r="BY73" s="5"/>
      <c r="BZ73" s="5"/>
      <c r="CA73" s="5"/>
      <c r="CB73" s="5"/>
      <c r="CC73" s="5"/>
    </row>
    <row r="74" spans="1:90" x14ac:dyDescent="0.25">
      <c r="V74" s="5"/>
      <c r="W74" s="5"/>
      <c r="X74" s="5"/>
      <c r="Y74" s="5"/>
      <c r="AU74"/>
      <c r="AV74"/>
      <c r="BE74"/>
      <c r="BF74"/>
      <c r="BJ74"/>
      <c r="BK74"/>
      <c r="BO74"/>
      <c r="BP74"/>
      <c r="BT74"/>
      <c r="BU74"/>
      <c r="BY74"/>
      <c r="BZ74"/>
      <c r="CA74" s="5"/>
      <c r="CB74" s="5"/>
      <c r="CC74" s="5"/>
      <c r="CD74"/>
      <c r="CE74"/>
      <c r="CI74"/>
      <c r="CJ74"/>
    </row>
    <row r="75" spans="1:90" x14ac:dyDescent="0.25">
      <c r="V75" s="5"/>
      <c r="W75" s="5"/>
      <c r="X75" s="5"/>
      <c r="Y75" s="5"/>
      <c r="AK75" s="5"/>
      <c r="AL75" s="5"/>
      <c r="AN75" s="5"/>
      <c r="AP75" s="5"/>
      <c r="AQ75" s="5"/>
      <c r="AZ75" s="5"/>
      <c r="BA75" s="5"/>
      <c r="BY75" s="5"/>
      <c r="BZ75" s="5"/>
      <c r="CA75" s="5"/>
      <c r="CB75" s="5"/>
      <c r="CC75" s="5"/>
    </row>
    <row r="76" spans="1:90" x14ac:dyDescent="0.25">
      <c r="V76" s="5"/>
      <c r="W76" s="5"/>
      <c r="X76" s="5"/>
      <c r="Y76" s="5"/>
      <c r="BY76" s="5"/>
      <c r="BZ76" s="5"/>
      <c r="CA76" s="5"/>
      <c r="CB76" s="5"/>
      <c r="CC76" s="5"/>
    </row>
    <row r="77" spans="1:90" x14ac:dyDescent="0.25">
      <c r="A77"/>
      <c r="V77" s="5"/>
      <c r="W77" s="5"/>
      <c r="X77" s="5"/>
      <c r="Y77" s="5"/>
      <c r="BY77" s="5"/>
      <c r="BZ77" s="5"/>
      <c r="CA77" s="5"/>
      <c r="CB77" s="5"/>
      <c r="CC77" s="5"/>
    </row>
    <row r="78" spans="1:90" x14ac:dyDescent="0.25">
      <c r="A78"/>
      <c r="V78" s="5"/>
      <c r="W78" s="5"/>
      <c r="X78" s="5"/>
      <c r="Y78" s="5"/>
      <c r="BY78" s="5"/>
      <c r="BZ78" s="5"/>
      <c r="CA78" s="5"/>
      <c r="CB78" s="5"/>
      <c r="CC78" s="5"/>
    </row>
    <row r="79" spans="1:90" x14ac:dyDescent="0.25">
      <c r="A79"/>
      <c r="V79" s="5"/>
      <c r="W79" s="5"/>
      <c r="X79" s="5"/>
      <c r="Y79" s="5"/>
      <c r="BY79" s="5"/>
      <c r="BZ79" s="5"/>
      <c r="CA79" s="5"/>
      <c r="CB79" s="5"/>
      <c r="CC79" s="5"/>
    </row>
    <row r="80" spans="1:90" x14ac:dyDescent="0.25">
      <c r="A80"/>
      <c r="V80" s="5"/>
      <c r="W80" s="5"/>
      <c r="X80" s="5"/>
      <c r="Y80" s="5"/>
      <c r="BY80" s="5"/>
      <c r="BZ80" s="5"/>
      <c r="CA80" s="5"/>
      <c r="CB80" s="5"/>
      <c r="CC80" s="5"/>
    </row>
    <row r="81" spans="1:81" x14ac:dyDescent="0.25">
      <c r="A81"/>
      <c r="V81" s="5"/>
      <c r="W81" s="5"/>
      <c r="X81" s="5"/>
      <c r="Y81" s="5"/>
      <c r="BY81" s="5"/>
      <c r="BZ81" s="5"/>
      <c r="CA81" s="5"/>
      <c r="CB81" s="5"/>
      <c r="CC81" s="5"/>
    </row>
    <row r="82" spans="1:81" x14ac:dyDescent="0.25">
      <c r="A82"/>
      <c r="Q82"/>
      <c r="R82"/>
      <c r="S82"/>
      <c r="T82"/>
      <c r="V82" s="5"/>
      <c r="W82" s="5"/>
      <c r="X82" s="5"/>
      <c r="Y82" s="5"/>
      <c r="AF82"/>
      <c r="AG82"/>
      <c r="AH82"/>
      <c r="AI82"/>
      <c r="BY82" s="5"/>
      <c r="BZ82" s="5"/>
      <c r="CA82" s="5"/>
      <c r="CB82" s="5"/>
      <c r="CC82" s="5"/>
    </row>
    <row r="83" spans="1:81" x14ac:dyDescent="0.25">
      <c r="A83"/>
      <c r="C83"/>
      <c r="D83"/>
      <c r="E83"/>
      <c r="F83"/>
      <c r="G83"/>
      <c r="H83"/>
      <c r="I83"/>
      <c r="J83"/>
      <c r="K83"/>
      <c r="L83"/>
      <c r="M83"/>
      <c r="N83"/>
      <c r="O83"/>
      <c r="P83"/>
      <c r="Q83"/>
      <c r="R83"/>
      <c r="S83"/>
      <c r="T83"/>
      <c r="U83"/>
      <c r="V83" s="5"/>
      <c r="W83" s="5"/>
      <c r="X83" s="5"/>
      <c r="Y83" s="5"/>
      <c r="AF83"/>
      <c r="AG83"/>
      <c r="AH83"/>
      <c r="AI83"/>
      <c r="AJ83"/>
      <c r="AT83"/>
      <c r="BY83" s="5"/>
      <c r="BZ83" s="5"/>
      <c r="CA83" s="5"/>
      <c r="CB83" s="5"/>
      <c r="CC83" s="5"/>
    </row>
    <row r="84" spans="1:81" x14ac:dyDescent="0.25">
      <c r="A84"/>
      <c r="C84"/>
      <c r="D84"/>
      <c r="E84"/>
      <c r="F84"/>
      <c r="G84"/>
      <c r="H84"/>
      <c r="I84"/>
      <c r="J84"/>
      <c r="K84"/>
      <c r="L84"/>
      <c r="M84"/>
      <c r="N84"/>
      <c r="O84"/>
      <c r="P84"/>
      <c r="Q84"/>
      <c r="R84"/>
      <c r="S84"/>
      <c r="T84"/>
      <c r="U84"/>
      <c r="V84" s="5"/>
      <c r="W84" s="5"/>
      <c r="X84" s="5"/>
      <c r="Y84" s="5"/>
      <c r="AF84"/>
      <c r="AG84"/>
      <c r="AH84"/>
      <c r="AI84"/>
      <c r="AJ84"/>
      <c r="AT84"/>
      <c r="BY84" s="5"/>
      <c r="BZ84" s="5"/>
      <c r="CA84" s="5"/>
      <c r="CB84" s="5"/>
      <c r="CC84" s="5"/>
    </row>
    <row r="85" spans="1:81" x14ac:dyDescent="0.25">
      <c r="A85"/>
      <c r="C85"/>
      <c r="D85"/>
      <c r="E85"/>
      <c r="F85"/>
      <c r="G85"/>
      <c r="H85"/>
      <c r="I85"/>
      <c r="J85"/>
      <c r="K85"/>
      <c r="L85"/>
      <c r="M85"/>
      <c r="N85"/>
      <c r="O85"/>
      <c r="P85"/>
      <c r="Q85"/>
      <c r="R85"/>
      <c r="S85"/>
      <c r="T85"/>
      <c r="U85"/>
      <c r="V85" s="5"/>
      <c r="W85" s="5"/>
      <c r="X85" s="5"/>
      <c r="Y85" s="5"/>
      <c r="AF85"/>
      <c r="AG85"/>
      <c r="AH85"/>
      <c r="AI85"/>
      <c r="AJ85"/>
      <c r="AT85"/>
      <c r="BY85" s="5"/>
      <c r="BZ85" s="5"/>
      <c r="CA85" s="5"/>
      <c r="CB85" s="5"/>
      <c r="CC85" s="5"/>
    </row>
    <row r="86" spans="1:81" x14ac:dyDescent="0.25">
      <c r="A86"/>
      <c r="C86"/>
      <c r="D86"/>
      <c r="E86"/>
      <c r="F86"/>
      <c r="G86"/>
      <c r="H86"/>
      <c r="I86"/>
      <c r="J86"/>
      <c r="K86"/>
      <c r="L86"/>
      <c r="M86"/>
      <c r="N86"/>
      <c r="O86"/>
      <c r="P86"/>
      <c r="Q86"/>
      <c r="R86"/>
      <c r="S86"/>
      <c r="T86"/>
      <c r="U86"/>
      <c r="V86" s="5"/>
      <c r="W86" s="5"/>
      <c r="X86" s="5"/>
      <c r="Y86" s="5"/>
      <c r="AF86"/>
      <c r="AG86"/>
      <c r="AH86"/>
      <c r="AI86"/>
      <c r="AJ86"/>
      <c r="AT86"/>
      <c r="BY86" s="5"/>
      <c r="BZ86" s="5"/>
      <c r="CA86" s="5"/>
      <c r="CB86" s="5"/>
      <c r="CC86" s="5"/>
    </row>
    <row r="87" spans="1:81" x14ac:dyDescent="0.25">
      <c r="A87"/>
      <c r="C87"/>
      <c r="D87"/>
      <c r="E87"/>
      <c r="F87"/>
      <c r="G87"/>
      <c r="H87"/>
      <c r="I87"/>
      <c r="J87"/>
      <c r="K87"/>
      <c r="L87"/>
      <c r="M87"/>
      <c r="N87"/>
      <c r="O87"/>
      <c r="P87"/>
      <c r="Q87"/>
      <c r="R87"/>
      <c r="S87"/>
      <c r="T87"/>
      <c r="U87"/>
      <c r="V87" s="5"/>
      <c r="W87" s="5"/>
      <c r="X87" s="5"/>
      <c r="Y87" s="5"/>
      <c r="AF87"/>
      <c r="AG87"/>
      <c r="AH87"/>
      <c r="AI87"/>
      <c r="AJ87"/>
      <c r="AT87"/>
      <c r="BY87" s="5"/>
      <c r="BZ87" s="5"/>
      <c r="CA87" s="5"/>
      <c r="CB87" s="5"/>
      <c r="CC87" s="5"/>
    </row>
    <row r="88" spans="1:81" x14ac:dyDescent="0.25">
      <c r="A88"/>
      <c r="C88"/>
      <c r="D88"/>
      <c r="E88"/>
      <c r="F88"/>
      <c r="G88"/>
      <c r="H88"/>
      <c r="I88"/>
      <c r="J88"/>
      <c r="K88"/>
      <c r="L88"/>
      <c r="M88"/>
      <c r="N88"/>
      <c r="O88"/>
      <c r="P88"/>
      <c r="Q88"/>
      <c r="R88"/>
      <c r="S88"/>
      <c r="T88"/>
      <c r="U88"/>
      <c r="V88" s="5"/>
      <c r="W88" s="5"/>
      <c r="X88" s="5"/>
      <c r="Y88" s="5"/>
      <c r="AF88"/>
      <c r="AG88"/>
      <c r="AH88"/>
      <c r="AI88"/>
      <c r="AJ88"/>
      <c r="AT88"/>
      <c r="BY88" s="5"/>
      <c r="BZ88" s="5"/>
      <c r="CA88" s="5"/>
      <c r="CB88" s="5"/>
      <c r="CC88" s="5"/>
    </row>
    <row r="89" spans="1:81" x14ac:dyDescent="0.25">
      <c r="A89"/>
      <c r="C89"/>
      <c r="D89"/>
      <c r="E89"/>
      <c r="F89"/>
      <c r="G89"/>
      <c r="H89"/>
      <c r="I89"/>
      <c r="J89"/>
      <c r="K89"/>
      <c r="L89"/>
      <c r="M89"/>
      <c r="N89"/>
      <c r="O89"/>
      <c r="P89"/>
      <c r="Q89"/>
      <c r="R89"/>
      <c r="S89"/>
      <c r="T89"/>
      <c r="U89"/>
      <c r="V89" s="5"/>
      <c r="W89" s="5"/>
      <c r="X89" s="5"/>
      <c r="Y89" s="5"/>
      <c r="AF89"/>
      <c r="AG89"/>
      <c r="AH89"/>
      <c r="AI89"/>
      <c r="AJ89"/>
      <c r="AT89"/>
      <c r="BY89" s="5"/>
      <c r="BZ89" s="5"/>
      <c r="CA89" s="5"/>
      <c r="CB89" s="5"/>
      <c r="CC89" s="5"/>
    </row>
    <row r="90" spans="1:81" x14ac:dyDescent="0.25">
      <c r="A90"/>
      <c r="C90"/>
      <c r="D90"/>
      <c r="E90"/>
      <c r="F90"/>
      <c r="G90"/>
      <c r="H90"/>
      <c r="I90"/>
      <c r="J90"/>
      <c r="K90"/>
      <c r="L90"/>
      <c r="M90"/>
      <c r="N90"/>
      <c r="O90"/>
      <c r="P90"/>
      <c r="Q90"/>
      <c r="R90"/>
      <c r="S90"/>
      <c r="T90"/>
      <c r="U90"/>
      <c r="V90" s="5"/>
      <c r="W90" s="5"/>
      <c r="X90" s="5"/>
      <c r="Y90" s="5"/>
      <c r="AF90"/>
      <c r="AG90"/>
      <c r="AH90"/>
      <c r="AI90"/>
      <c r="AJ90"/>
      <c r="AT90"/>
      <c r="BY90" s="5"/>
      <c r="BZ90" s="5"/>
      <c r="CA90" s="5"/>
      <c r="CB90" s="5"/>
      <c r="CC90" s="5"/>
    </row>
    <row r="91" spans="1:81" x14ac:dyDescent="0.25">
      <c r="A91"/>
      <c r="C91"/>
      <c r="D91"/>
      <c r="E91"/>
      <c r="F91"/>
      <c r="G91"/>
      <c r="H91"/>
      <c r="I91"/>
      <c r="J91"/>
      <c r="K91"/>
      <c r="L91"/>
      <c r="M91"/>
      <c r="N91"/>
      <c r="O91"/>
      <c r="P91"/>
      <c r="Q91"/>
      <c r="R91"/>
      <c r="S91"/>
      <c r="T91"/>
      <c r="U91"/>
      <c r="V91" s="5"/>
      <c r="W91" s="5"/>
      <c r="X91" s="5"/>
      <c r="Y91" s="5"/>
      <c r="AF91"/>
      <c r="AG91"/>
      <c r="AH91"/>
      <c r="AI91"/>
      <c r="AJ91"/>
      <c r="AT91"/>
      <c r="BY91" s="5"/>
      <c r="BZ91" s="5"/>
      <c r="CA91" s="5"/>
      <c r="CB91" s="5"/>
      <c r="CC91" s="5"/>
    </row>
    <row r="92" spans="1:81" x14ac:dyDescent="0.25">
      <c r="A92"/>
      <c r="C92"/>
      <c r="D92"/>
      <c r="E92"/>
      <c r="F92"/>
      <c r="G92"/>
      <c r="H92"/>
      <c r="I92"/>
      <c r="J92"/>
      <c r="K92"/>
      <c r="L92"/>
      <c r="M92"/>
      <c r="N92"/>
      <c r="O92"/>
      <c r="P92"/>
      <c r="Q92"/>
      <c r="R92"/>
      <c r="S92"/>
      <c r="T92"/>
      <c r="U92"/>
      <c r="V92" s="5"/>
      <c r="W92" s="5"/>
      <c r="X92" s="5"/>
      <c r="Y92" s="5"/>
      <c r="AF92"/>
      <c r="AG92"/>
      <c r="AH92"/>
      <c r="AI92"/>
      <c r="AJ92"/>
      <c r="AT92"/>
      <c r="BY92" s="5"/>
      <c r="BZ92" s="5"/>
      <c r="CA92" s="5"/>
      <c r="CB92" s="5"/>
      <c r="CC92" s="5"/>
    </row>
    <row r="93" spans="1:81" x14ac:dyDescent="0.25">
      <c r="A93"/>
      <c r="C93"/>
      <c r="D93"/>
      <c r="E93"/>
      <c r="F93"/>
      <c r="G93"/>
      <c r="H93"/>
      <c r="I93"/>
      <c r="J93"/>
      <c r="K93"/>
      <c r="L93"/>
      <c r="M93"/>
      <c r="N93"/>
      <c r="O93"/>
      <c r="P93"/>
      <c r="Q93"/>
      <c r="R93"/>
      <c r="S93"/>
      <c r="T93"/>
      <c r="U93"/>
      <c r="V93" s="5"/>
      <c r="W93" s="5"/>
      <c r="X93" s="5"/>
      <c r="Y93" s="5"/>
      <c r="AF93"/>
      <c r="AG93"/>
      <c r="AH93"/>
      <c r="AI93"/>
      <c r="AJ93"/>
      <c r="AT93"/>
      <c r="BY93" s="5"/>
      <c r="BZ93" s="5"/>
      <c r="CA93" s="5"/>
      <c r="CB93" s="5"/>
      <c r="CC93" s="5"/>
    </row>
    <row r="94" spans="1:81" x14ac:dyDescent="0.25">
      <c r="A94"/>
      <c r="C94"/>
      <c r="D94"/>
      <c r="E94"/>
      <c r="F94"/>
      <c r="G94"/>
      <c r="H94"/>
      <c r="I94"/>
      <c r="J94"/>
      <c r="K94"/>
      <c r="L94"/>
      <c r="M94"/>
      <c r="N94"/>
      <c r="O94"/>
      <c r="P94"/>
      <c r="Q94"/>
      <c r="R94"/>
      <c r="S94"/>
      <c r="T94"/>
      <c r="U94"/>
      <c r="V94" s="5"/>
      <c r="W94" s="5"/>
      <c r="X94" s="5"/>
      <c r="Y94" s="5"/>
      <c r="AF94"/>
      <c r="AG94"/>
      <c r="AH94"/>
      <c r="AI94"/>
      <c r="AJ94"/>
      <c r="AT94"/>
      <c r="BY94" s="5"/>
      <c r="BZ94" s="5"/>
      <c r="CA94" s="5"/>
      <c r="CB94" s="5"/>
      <c r="CC94" s="5"/>
    </row>
    <row r="95" spans="1:81" x14ac:dyDescent="0.25">
      <c r="A95"/>
      <c r="C95"/>
      <c r="D95"/>
      <c r="E95"/>
      <c r="F95"/>
      <c r="G95"/>
      <c r="H95"/>
      <c r="I95"/>
      <c r="J95"/>
      <c r="K95"/>
      <c r="L95"/>
      <c r="M95"/>
      <c r="N95"/>
      <c r="O95"/>
      <c r="P95"/>
      <c r="Q95"/>
      <c r="R95"/>
      <c r="S95"/>
      <c r="T95"/>
      <c r="U95"/>
      <c r="V95" s="5"/>
      <c r="W95" s="5"/>
      <c r="X95" s="5"/>
      <c r="Y95" s="5"/>
      <c r="AF95"/>
      <c r="AG95"/>
      <c r="AH95"/>
      <c r="AI95"/>
      <c r="AJ95"/>
      <c r="AT95"/>
      <c r="BY95" s="5"/>
      <c r="BZ95" s="5"/>
      <c r="CA95" s="5"/>
      <c r="CB95" s="5"/>
      <c r="CC95" s="5"/>
    </row>
    <row r="96" spans="1:81" x14ac:dyDescent="0.25">
      <c r="A96"/>
      <c r="C96"/>
      <c r="D96"/>
      <c r="E96"/>
      <c r="F96"/>
      <c r="G96"/>
      <c r="H96"/>
      <c r="I96"/>
      <c r="J96"/>
      <c r="K96"/>
      <c r="L96"/>
      <c r="M96"/>
      <c r="N96"/>
      <c r="O96"/>
      <c r="P96"/>
      <c r="Q96"/>
      <c r="R96"/>
      <c r="S96"/>
      <c r="T96"/>
      <c r="U96"/>
      <c r="V96" s="5"/>
      <c r="W96" s="5"/>
      <c r="X96" s="5"/>
      <c r="Y96" s="5"/>
      <c r="AF96"/>
      <c r="AG96"/>
      <c r="AH96"/>
      <c r="AI96"/>
      <c r="AJ96"/>
      <c r="AT96"/>
      <c r="BY96" s="5"/>
      <c r="BZ96" s="5"/>
      <c r="CA96" s="5"/>
      <c r="CB96" s="5"/>
      <c r="CC96" s="5"/>
    </row>
    <row r="97" spans="1:81" x14ac:dyDescent="0.25">
      <c r="A97"/>
      <c r="C97"/>
      <c r="D97"/>
      <c r="E97"/>
      <c r="F97"/>
      <c r="G97"/>
      <c r="H97"/>
      <c r="I97"/>
      <c r="J97"/>
      <c r="K97"/>
      <c r="L97"/>
      <c r="M97"/>
      <c r="N97"/>
      <c r="O97"/>
      <c r="P97"/>
      <c r="Q97"/>
      <c r="R97"/>
      <c r="S97"/>
      <c r="T97"/>
      <c r="U97"/>
      <c r="V97" s="5"/>
      <c r="W97" s="5"/>
      <c r="X97" s="5"/>
      <c r="Y97" s="5"/>
      <c r="AF97"/>
      <c r="AG97"/>
      <c r="AH97"/>
      <c r="AI97"/>
      <c r="AJ97"/>
      <c r="AT97"/>
      <c r="BY97" s="5"/>
      <c r="BZ97" s="5"/>
      <c r="CA97" s="5"/>
      <c r="CB97" s="5"/>
      <c r="CC97" s="5"/>
    </row>
    <row r="98" spans="1:81" x14ac:dyDescent="0.25">
      <c r="A98"/>
      <c r="C98"/>
      <c r="D98"/>
      <c r="E98"/>
      <c r="F98"/>
      <c r="G98"/>
      <c r="H98"/>
      <c r="I98"/>
      <c r="J98"/>
      <c r="K98"/>
      <c r="L98"/>
      <c r="M98"/>
      <c r="N98"/>
      <c r="O98"/>
      <c r="P98"/>
      <c r="Q98"/>
      <c r="R98"/>
      <c r="S98"/>
      <c r="T98"/>
      <c r="U98"/>
      <c r="V98" s="5"/>
      <c r="W98" s="5"/>
      <c r="X98" s="5"/>
      <c r="Y98" s="5"/>
      <c r="AF98"/>
      <c r="AG98"/>
      <c r="AH98"/>
      <c r="AI98"/>
      <c r="AJ98"/>
      <c r="AT98"/>
      <c r="BY98" s="5"/>
      <c r="BZ98" s="5"/>
      <c r="CA98" s="5"/>
      <c r="CB98" s="5"/>
      <c r="CC98" s="5"/>
    </row>
    <row r="99" spans="1:81" x14ac:dyDescent="0.25">
      <c r="A99"/>
      <c r="C99"/>
      <c r="D99"/>
      <c r="E99"/>
      <c r="F99"/>
      <c r="G99"/>
      <c r="H99"/>
      <c r="I99"/>
      <c r="J99"/>
      <c r="K99"/>
      <c r="L99"/>
      <c r="M99"/>
      <c r="N99"/>
      <c r="O99"/>
      <c r="P99"/>
      <c r="Q99"/>
      <c r="R99"/>
      <c r="S99"/>
      <c r="T99"/>
      <c r="U99"/>
      <c r="V99" s="5"/>
      <c r="W99" s="5"/>
      <c r="X99" s="5"/>
      <c r="Y99" s="5"/>
      <c r="AF99"/>
      <c r="AG99"/>
      <c r="AH99"/>
      <c r="AI99"/>
      <c r="AJ99"/>
      <c r="AT99"/>
      <c r="BY99" s="5"/>
      <c r="BZ99" s="5"/>
      <c r="CA99" s="5"/>
      <c r="CB99" s="5"/>
      <c r="CC99" s="5"/>
    </row>
    <row r="100" spans="1:81" x14ac:dyDescent="0.25">
      <c r="A100"/>
      <c r="C100"/>
      <c r="D100"/>
      <c r="E100"/>
      <c r="F100"/>
      <c r="G100"/>
      <c r="H100"/>
      <c r="I100"/>
      <c r="J100"/>
      <c r="K100"/>
      <c r="L100"/>
      <c r="M100"/>
      <c r="N100"/>
      <c r="O100"/>
      <c r="P100"/>
      <c r="Q100"/>
      <c r="R100"/>
      <c r="S100"/>
      <c r="T100"/>
      <c r="U100"/>
      <c r="V100" s="5"/>
      <c r="W100" s="5"/>
      <c r="X100" s="5"/>
      <c r="Y100" s="5"/>
      <c r="AF100"/>
      <c r="AG100"/>
      <c r="AH100"/>
      <c r="AI100"/>
      <c r="AJ100"/>
      <c r="AT100"/>
      <c r="BY100" s="5"/>
      <c r="BZ100" s="5"/>
      <c r="CA100" s="5"/>
      <c r="CB100" s="5"/>
      <c r="CC100" s="5"/>
    </row>
    <row r="101" spans="1:81" x14ac:dyDescent="0.25">
      <c r="A101"/>
      <c r="C101"/>
      <c r="D101"/>
      <c r="E101"/>
      <c r="F101"/>
      <c r="G101"/>
      <c r="H101"/>
      <c r="I101"/>
      <c r="J101"/>
      <c r="K101"/>
      <c r="L101"/>
      <c r="M101"/>
      <c r="N101"/>
      <c r="O101"/>
      <c r="P101"/>
      <c r="Q101"/>
      <c r="R101"/>
      <c r="S101"/>
      <c r="T101"/>
      <c r="U101"/>
      <c r="V101" s="5"/>
      <c r="W101" s="5"/>
      <c r="X101" s="5"/>
      <c r="Y101" s="5"/>
      <c r="AF101"/>
      <c r="AG101"/>
      <c r="AH101"/>
      <c r="AI101"/>
      <c r="AJ101"/>
      <c r="AT101"/>
      <c r="BY101" s="5"/>
      <c r="BZ101" s="5"/>
      <c r="CA101" s="5"/>
      <c r="CB101" s="5"/>
      <c r="CC101" s="5"/>
    </row>
    <row r="102" spans="1:81" x14ac:dyDescent="0.25">
      <c r="A102"/>
      <c r="C102"/>
      <c r="D102"/>
      <c r="E102"/>
      <c r="F102"/>
      <c r="G102"/>
      <c r="H102"/>
      <c r="I102"/>
      <c r="J102"/>
      <c r="K102"/>
      <c r="L102"/>
      <c r="M102"/>
      <c r="N102"/>
      <c r="O102"/>
      <c r="P102"/>
      <c r="Q102"/>
      <c r="R102"/>
      <c r="S102"/>
      <c r="T102"/>
      <c r="U102"/>
      <c r="V102" s="5"/>
      <c r="W102" s="5"/>
      <c r="X102" s="5"/>
      <c r="Y102" s="5"/>
      <c r="AF102"/>
      <c r="AG102"/>
      <c r="AH102"/>
      <c r="AI102"/>
      <c r="AJ102"/>
      <c r="AT102"/>
      <c r="BY102" s="5"/>
      <c r="BZ102" s="5"/>
      <c r="CA102" s="5"/>
      <c r="CB102" s="5"/>
      <c r="CC102" s="5"/>
    </row>
    <row r="103" spans="1:81" x14ac:dyDescent="0.25">
      <c r="A103"/>
      <c r="C103"/>
      <c r="D103"/>
      <c r="E103"/>
      <c r="F103"/>
      <c r="G103"/>
      <c r="H103"/>
      <c r="I103"/>
      <c r="J103"/>
      <c r="K103"/>
      <c r="L103"/>
      <c r="M103"/>
      <c r="N103"/>
      <c r="O103"/>
      <c r="P103"/>
      <c r="Q103"/>
      <c r="R103"/>
      <c r="S103"/>
      <c r="T103"/>
      <c r="U103"/>
      <c r="V103" s="5"/>
      <c r="W103" s="5"/>
      <c r="X103" s="5"/>
      <c r="Y103" s="5"/>
      <c r="AF103"/>
      <c r="AG103"/>
      <c r="AH103"/>
      <c r="AI103"/>
      <c r="AJ103"/>
      <c r="AT103"/>
      <c r="BY103" s="5"/>
      <c r="BZ103" s="5"/>
      <c r="CA103" s="5"/>
      <c r="CB103" s="5"/>
      <c r="CC103" s="5"/>
    </row>
    <row r="104" spans="1:81" x14ac:dyDescent="0.25">
      <c r="C104"/>
      <c r="D104"/>
      <c r="E104"/>
      <c r="F104"/>
      <c r="G104"/>
      <c r="H104"/>
      <c r="I104"/>
      <c r="J104"/>
      <c r="K104"/>
      <c r="L104"/>
      <c r="M104"/>
      <c r="N104"/>
      <c r="O104"/>
      <c r="P104"/>
      <c r="Q104"/>
      <c r="R104"/>
      <c r="S104"/>
      <c r="T104"/>
      <c r="U104"/>
      <c r="V104" s="5"/>
      <c r="W104" s="5"/>
      <c r="X104" s="5"/>
      <c r="Y104" s="5"/>
      <c r="AF104"/>
      <c r="AG104"/>
      <c r="AH104"/>
      <c r="AI104"/>
      <c r="AJ104"/>
      <c r="AT104"/>
      <c r="BY104" s="5"/>
      <c r="BZ104" s="5"/>
      <c r="CA104" s="5"/>
      <c r="CB104" s="5"/>
      <c r="CC104" s="5"/>
    </row>
    <row r="105" spans="1:81" x14ac:dyDescent="0.25">
      <c r="C105"/>
      <c r="D105"/>
      <c r="E105"/>
      <c r="F105"/>
      <c r="G105"/>
      <c r="H105"/>
      <c r="I105"/>
      <c r="J105"/>
      <c r="K105"/>
      <c r="L105"/>
      <c r="M105"/>
      <c r="N105"/>
      <c r="O105"/>
      <c r="P105"/>
      <c r="Q105"/>
      <c r="R105"/>
      <c r="S105"/>
      <c r="T105"/>
      <c r="U105"/>
      <c r="V105" s="5"/>
      <c r="W105" s="5"/>
      <c r="X105" s="5"/>
      <c r="Y105" s="5"/>
      <c r="AF105"/>
      <c r="AG105"/>
      <c r="AH105"/>
      <c r="AI105"/>
      <c r="AJ105"/>
      <c r="AT105"/>
      <c r="BY105" s="5"/>
      <c r="BZ105" s="5"/>
      <c r="CA105" s="5"/>
      <c r="CB105" s="5"/>
      <c r="CC105" s="5"/>
    </row>
    <row r="106" spans="1:81" x14ac:dyDescent="0.25">
      <c r="C106"/>
      <c r="D106"/>
      <c r="E106"/>
      <c r="F106"/>
      <c r="G106"/>
      <c r="H106"/>
      <c r="I106"/>
      <c r="J106"/>
      <c r="K106"/>
      <c r="L106"/>
      <c r="M106"/>
      <c r="N106"/>
      <c r="O106"/>
      <c r="P106"/>
      <c r="Q106"/>
      <c r="R106"/>
      <c r="S106"/>
      <c r="T106"/>
      <c r="U106"/>
      <c r="V106" s="5"/>
      <c r="W106" s="5"/>
      <c r="X106" s="5"/>
      <c r="Y106" s="5"/>
      <c r="AF106"/>
      <c r="AG106"/>
      <c r="AH106"/>
      <c r="AI106"/>
      <c r="AJ106"/>
      <c r="AT106"/>
      <c r="BY106" s="5"/>
      <c r="BZ106" s="5"/>
      <c r="CA106" s="5"/>
      <c r="CB106" s="5"/>
      <c r="CC106" s="5"/>
    </row>
    <row r="107" spans="1:81" x14ac:dyDescent="0.25">
      <c r="C107"/>
      <c r="D107"/>
      <c r="E107"/>
      <c r="F107"/>
      <c r="G107"/>
      <c r="H107"/>
      <c r="I107"/>
      <c r="J107"/>
      <c r="K107"/>
      <c r="L107"/>
      <c r="M107"/>
      <c r="N107"/>
      <c r="O107"/>
      <c r="P107"/>
      <c r="Q107"/>
      <c r="R107"/>
      <c r="S107"/>
      <c r="T107"/>
      <c r="U107"/>
      <c r="V107" s="5"/>
      <c r="W107" s="5"/>
      <c r="X107" s="5"/>
      <c r="Y107" s="5"/>
      <c r="AF107"/>
      <c r="AG107"/>
      <c r="AH107"/>
      <c r="AI107"/>
      <c r="AJ107"/>
      <c r="AT107"/>
      <c r="BY107" s="5"/>
      <c r="BZ107" s="5"/>
      <c r="CA107" s="5"/>
      <c r="CB107" s="5"/>
      <c r="CC107" s="5"/>
    </row>
    <row r="108" spans="1:81" x14ac:dyDescent="0.25">
      <c r="C108"/>
      <c r="D108"/>
      <c r="E108"/>
      <c r="F108"/>
      <c r="G108"/>
      <c r="H108"/>
      <c r="I108"/>
      <c r="J108"/>
      <c r="K108"/>
      <c r="L108"/>
      <c r="M108"/>
      <c r="N108"/>
      <c r="O108"/>
      <c r="P108"/>
      <c r="Q108"/>
      <c r="R108"/>
      <c r="S108"/>
      <c r="T108"/>
      <c r="U108"/>
      <c r="V108" s="5"/>
      <c r="W108" s="5"/>
      <c r="X108" s="5"/>
      <c r="Y108" s="5"/>
      <c r="AF108"/>
      <c r="AG108"/>
      <c r="AH108"/>
      <c r="AI108"/>
      <c r="AJ108"/>
      <c r="AT108"/>
      <c r="BY108" s="5"/>
      <c r="BZ108" s="5"/>
      <c r="CA108" s="5"/>
      <c r="CB108" s="5"/>
      <c r="CC108" s="5"/>
    </row>
    <row r="109" spans="1:81" x14ac:dyDescent="0.25">
      <c r="C109"/>
      <c r="D109"/>
      <c r="E109"/>
      <c r="F109"/>
      <c r="G109"/>
      <c r="H109"/>
      <c r="I109"/>
      <c r="J109"/>
      <c r="K109"/>
      <c r="L109"/>
      <c r="M109"/>
      <c r="N109"/>
      <c r="O109"/>
      <c r="P109"/>
      <c r="U109"/>
      <c r="V109" s="5"/>
      <c r="W109" s="5"/>
      <c r="X109" s="5"/>
      <c r="Y109" s="5"/>
      <c r="AJ109"/>
      <c r="AT109"/>
      <c r="BY109" s="5"/>
      <c r="BZ109" s="5"/>
      <c r="CA109" s="5"/>
      <c r="CB109" s="5"/>
      <c r="CC109" s="5"/>
    </row>
    <row r="110" spans="1:81" x14ac:dyDescent="0.25">
      <c r="V110" s="5"/>
      <c r="W110" s="5"/>
      <c r="X110" s="5"/>
      <c r="Y110" s="5"/>
      <c r="BY110" s="5"/>
      <c r="BZ110" s="5"/>
      <c r="CA110" s="5"/>
      <c r="CB110" s="5"/>
      <c r="CC110" s="5"/>
    </row>
    <row r="111" spans="1:81" x14ac:dyDescent="0.25">
      <c r="V111" s="5"/>
      <c r="W111" s="5"/>
      <c r="X111" s="5"/>
      <c r="Y111" s="5"/>
      <c r="BY111" s="5"/>
      <c r="BZ111" s="5"/>
      <c r="CA111" s="5"/>
      <c r="CB111" s="5"/>
      <c r="CC111" s="5"/>
    </row>
    <row r="112" spans="1:81" x14ac:dyDescent="0.25">
      <c r="V112" s="5"/>
      <c r="W112" s="5"/>
      <c r="X112" s="5"/>
      <c r="Y112" s="5"/>
      <c r="BY112" s="5"/>
      <c r="BZ112" s="5"/>
      <c r="CA112" s="5"/>
      <c r="CB112" s="5"/>
      <c r="CC112" s="5"/>
    </row>
    <row r="113" spans="22:81" x14ac:dyDescent="0.25">
      <c r="V113" s="5"/>
      <c r="W113" s="5"/>
      <c r="X113" s="5"/>
      <c r="Y113" s="5"/>
      <c r="BY113" s="5"/>
      <c r="BZ113" s="5"/>
      <c r="CA113" s="5"/>
      <c r="CB113" s="5"/>
      <c r="CC113" s="5"/>
    </row>
    <row r="114" spans="22:81" x14ac:dyDescent="0.25">
      <c r="V114" s="5"/>
      <c r="W114" s="5"/>
      <c r="X114" s="5"/>
      <c r="Y114" s="5"/>
      <c r="BY114" s="5"/>
      <c r="BZ114" s="5"/>
      <c r="CA114" s="5"/>
      <c r="CB114" s="5"/>
      <c r="CC114" s="5"/>
    </row>
    <row r="115" spans="22:81" x14ac:dyDescent="0.25">
      <c r="V115" s="5"/>
      <c r="W115" s="5"/>
      <c r="X115" s="5"/>
      <c r="Y115" s="5"/>
      <c r="BY115" s="5"/>
      <c r="BZ115" s="5"/>
      <c r="CA115" s="5"/>
      <c r="CB115" s="5"/>
      <c r="CC115" s="5"/>
    </row>
    <row r="116" spans="22:81" x14ac:dyDescent="0.25">
      <c r="V116" s="5"/>
      <c r="W116" s="5"/>
      <c r="X116" s="5"/>
      <c r="Y116" s="5"/>
      <c r="BY116" s="5"/>
      <c r="BZ116" s="5"/>
      <c r="CA116" s="5"/>
      <c r="CB116" s="5"/>
      <c r="CC116" s="5"/>
    </row>
    <row r="117" spans="22:81" x14ac:dyDescent="0.25">
      <c r="V117" s="5"/>
      <c r="W117" s="5"/>
      <c r="X117" s="5"/>
      <c r="Y117" s="5"/>
      <c r="BY117" s="5"/>
      <c r="BZ117" s="5"/>
      <c r="CA117" s="5"/>
      <c r="CB117" s="5"/>
      <c r="CC117" s="5"/>
    </row>
    <row r="118" spans="22:81" x14ac:dyDescent="0.25">
      <c r="V118" s="5"/>
      <c r="W118" s="5"/>
      <c r="X118" s="5"/>
      <c r="Y118" s="5"/>
      <c r="BY118" s="5"/>
      <c r="BZ118" s="5"/>
      <c r="CA118" s="5"/>
      <c r="CB118" s="5"/>
      <c r="CC118" s="5"/>
    </row>
    <row r="119" spans="22:81" x14ac:dyDescent="0.25">
      <c r="V119" s="5"/>
      <c r="W119" s="5"/>
      <c r="X119" s="5"/>
      <c r="Y119" s="5"/>
      <c r="BY119" s="5"/>
      <c r="BZ119" s="5"/>
      <c r="CA119" s="5"/>
      <c r="CB119" s="5"/>
      <c r="CC119" s="5"/>
    </row>
    <row r="120" spans="22:81" x14ac:dyDescent="0.25">
      <c r="V120" s="5"/>
      <c r="W120" s="5"/>
      <c r="X120" s="5"/>
      <c r="Y120" s="5"/>
      <c r="BY120" s="5"/>
      <c r="BZ120" s="5"/>
      <c r="CA120" s="5"/>
      <c r="CB120" s="5"/>
      <c r="CC120" s="5"/>
    </row>
    <row r="121" spans="22:81" x14ac:dyDescent="0.25">
      <c r="V121" s="5"/>
      <c r="W121" s="5"/>
      <c r="X121" s="5"/>
      <c r="Y121" s="5"/>
      <c r="BY121" s="5"/>
      <c r="BZ121" s="5"/>
      <c r="CA121" s="5"/>
      <c r="CB121" s="5"/>
      <c r="CC121" s="5"/>
    </row>
    <row r="122" spans="22:81" x14ac:dyDescent="0.25">
      <c r="V122" s="5"/>
      <c r="W122" s="5"/>
      <c r="X122" s="5"/>
      <c r="Y122" s="5"/>
      <c r="BY122" s="5"/>
      <c r="BZ122" s="5"/>
      <c r="CA122" s="5"/>
      <c r="CB122" s="5"/>
      <c r="CC122" s="5"/>
    </row>
    <row r="123" spans="22:81" x14ac:dyDescent="0.25">
      <c r="V123" s="5"/>
      <c r="W123" s="5"/>
      <c r="X123" s="5"/>
      <c r="Y123" s="5"/>
      <c r="BY123" s="5"/>
      <c r="BZ123" s="5"/>
      <c r="CA123" s="5"/>
      <c r="CB123" s="5"/>
      <c r="CC123" s="5"/>
    </row>
    <row r="124" spans="22:81" x14ac:dyDescent="0.25">
      <c r="V124" s="5"/>
      <c r="W124" s="5"/>
      <c r="X124" s="5"/>
      <c r="Y124" s="5"/>
      <c r="BY124" s="5"/>
      <c r="BZ124" s="5"/>
      <c r="CA124" s="5"/>
      <c r="CB124" s="5"/>
      <c r="CC124" s="5"/>
    </row>
    <row r="125" spans="22:81" x14ac:dyDescent="0.25">
      <c r="V125" s="5"/>
      <c r="W125" s="5"/>
      <c r="X125" s="5"/>
      <c r="Y125" s="5"/>
      <c r="BY125" s="5"/>
      <c r="BZ125" s="5"/>
      <c r="CA125" s="5"/>
      <c r="CB125" s="5"/>
      <c r="CC125" s="5"/>
    </row>
    <row r="126" spans="22:81" x14ac:dyDescent="0.25">
      <c r="V126" s="5"/>
      <c r="W126" s="5"/>
      <c r="X126" s="5"/>
      <c r="Y126" s="5"/>
      <c r="BY126" s="5"/>
      <c r="BZ126" s="5"/>
      <c r="CA126" s="5"/>
      <c r="CB126" s="5"/>
      <c r="CC126" s="5"/>
    </row>
    <row r="127" spans="22:81" x14ac:dyDescent="0.25">
      <c r="V127" s="5"/>
      <c r="W127" s="5"/>
      <c r="X127" s="5"/>
      <c r="Y127" s="5"/>
      <c r="BY127" s="5"/>
      <c r="BZ127" s="5"/>
      <c r="CA127" s="5"/>
      <c r="CB127" s="5"/>
      <c r="CC127" s="5"/>
    </row>
    <row r="128" spans="22:81" x14ac:dyDescent="0.25">
      <c r="V128" s="5"/>
      <c r="W128" s="5"/>
      <c r="X128" s="5"/>
      <c r="Y128" s="5"/>
      <c r="BY128" s="5"/>
      <c r="BZ128" s="5"/>
      <c r="CA128" s="5"/>
      <c r="CB128" s="5"/>
      <c r="CC128" s="5"/>
    </row>
    <row r="129" spans="22:81" x14ac:dyDescent="0.25">
      <c r="V129" s="5"/>
      <c r="W129" s="5"/>
      <c r="X129" s="5"/>
      <c r="Y129" s="5"/>
      <c r="BY129" s="5"/>
      <c r="BZ129" s="5"/>
      <c r="CA129" s="5"/>
      <c r="CB129" s="5"/>
      <c r="CC129" s="5"/>
    </row>
    <row r="130" spans="22:81" x14ac:dyDescent="0.25">
      <c r="V130" s="5"/>
      <c r="W130" s="5"/>
      <c r="X130" s="5"/>
      <c r="Y130" s="5"/>
      <c r="BY130" s="5"/>
      <c r="BZ130" s="5"/>
      <c r="CA130" s="5"/>
      <c r="CB130" s="5"/>
      <c r="CC130" s="5"/>
    </row>
    <row r="131" spans="22:81" x14ac:dyDescent="0.25">
      <c r="V131" s="5"/>
      <c r="W131" s="5"/>
      <c r="X131" s="5"/>
      <c r="Y131" s="5"/>
      <c r="BY131" s="5"/>
      <c r="BZ131" s="5"/>
      <c r="CA131" s="5"/>
      <c r="CB131" s="5"/>
      <c r="CC131" s="5"/>
    </row>
    <row r="132" spans="22:81" x14ac:dyDescent="0.25">
      <c r="V132" s="5"/>
      <c r="W132" s="5"/>
      <c r="X132" s="5"/>
      <c r="Y132" s="5"/>
      <c r="BY132" s="5"/>
      <c r="BZ132" s="5"/>
      <c r="CA132" s="5"/>
      <c r="CB132" s="5"/>
      <c r="CC132" s="5"/>
    </row>
    <row r="133" spans="22:81" x14ac:dyDescent="0.25">
      <c r="V133" s="5"/>
      <c r="W133" s="5"/>
      <c r="X133" s="5"/>
      <c r="Y133" s="5"/>
      <c r="BY133" s="5"/>
      <c r="BZ133" s="5"/>
      <c r="CA133" s="5"/>
      <c r="CB133" s="5"/>
      <c r="CC133" s="5"/>
    </row>
    <row r="134" spans="22:81" x14ac:dyDescent="0.25">
      <c r="V134" s="5"/>
      <c r="W134" s="5"/>
      <c r="X134" s="5"/>
      <c r="Y134" s="5"/>
      <c r="BY134" s="5"/>
      <c r="BZ134" s="5"/>
      <c r="CA134" s="5"/>
      <c r="CB134" s="5"/>
      <c r="CC134" s="5"/>
    </row>
    <row r="135" spans="22:81" x14ac:dyDescent="0.25">
      <c r="V135" s="5"/>
      <c r="W135" s="5"/>
      <c r="X135" s="5"/>
      <c r="Y135" s="5"/>
      <c r="BY135" s="5"/>
      <c r="BZ135" s="5"/>
      <c r="CA135" s="5"/>
      <c r="CB135" s="5"/>
      <c r="CC135" s="5"/>
    </row>
    <row r="136" spans="22:81" x14ac:dyDescent="0.25">
      <c r="V136" s="5"/>
      <c r="W136" s="5"/>
      <c r="X136" s="5"/>
      <c r="Y136" s="5"/>
      <c r="BY136" s="5"/>
      <c r="BZ136" s="5"/>
      <c r="CA136" s="5"/>
      <c r="CB136" s="5"/>
      <c r="CC136" s="5"/>
    </row>
    <row r="137" spans="22:81" x14ac:dyDescent="0.25">
      <c r="V137" s="5"/>
      <c r="W137" s="5"/>
      <c r="X137" s="5"/>
      <c r="Y137" s="5"/>
      <c r="BY137" s="5"/>
      <c r="BZ137" s="5"/>
      <c r="CA137" s="5"/>
      <c r="CB137" s="5"/>
      <c r="CC137" s="5"/>
    </row>
    <row r="138" spans="22:81" x14ac:dyDescent="0.25">
      <c r="V138" s="5"/>
      <c r="W138" s="5"/>
      <c r="X138" s="5"/>
      <c r="Y138" s="5"/>
      <c r="BY138" s="5"/>
      <c r="BZ138" s="5"/>
      <c r="CA138" s="5"/>
      <c r="CB138" s="5"/>
      <c r="CC138" s="5"/>
    </row>
    <row r="139" spans="22:81" x14ac:dyDescent="0.25">
      <c r="V139" s="5"/>
      <c r="W139" s="5"/>
      <c r="X139" s="5"/>
      <c r="Y139" s="5"/>
      <c r="BY139" s="5"/>
      <c r="BZ139" s="5"/>
      <c r="CA139" s="5"/>
      <c r="CB139" s="5"/>
      <c r="CC139" s="5"/>
    </row>
    <row r="140" spans="22:81" x14ac:dyDescent="0.25">
      <c r="V140" s="5"/>
      <c r="W140" s="5"/>
      <c r="X140" s="5"/>
      <c r="Y140" s="5"/>
      <c r="BY140" s="5"/>
      <c r="BZ140" s="5"/>
      <c r="CA140" s="5"/>
      <c r="CB140" s="5"/>
      <c r="CC140" s="5"/>
    </row>
    <row r="141" spans="22:81" x14ac:dyDescent="0.25">
      <c r="V141" s="5"/>
      <c r="W141" s="5"/>
      <c r="X141" s="5"/>
      <c r="Y141" s="5"/>
      <c r="BY141" s="5"/>
      <c r="BZ141" s="5"/>
      <c r="CA141" s="5"/>
      <c r="CB141" s="5"/>
      <c r="CC141" s="5"/>
    </row>
    <row r="142" spans="22:81" x14ac:dyDescent="0.25">
      <c r="V142" s="5"/>
      <c r="W142" s="5"/>
      <c r="X142" s="5"/>
      <c r="Y142" s="5"/>
      <c r="BY142" s="5"/>
      <c r="BZ142" s="5"/>
      <c r="CA142" s="5"/>
      <c r="CB142" s="5"/>
      <c r="CC142" s="5"/>
    </row>
    <row r="143" spans="22:81" x14ac:dyDescent="0.25">
      <c r="V143" s="5"/>
      <c r="W143" s="5"/>
      <c r="X143" s="5"/>
      <c r="Y143" s="5"/>
      <c r="BY143" s="5"/>
      <c r="BZ143" s="5"/>
      <c r="CA143" s="5"/>
      <c r="CB143" s="5"/>
      <c r="CC143" s="5"/>
    </row>
    <row r="144" spans="22:81" x14ac:dyDescent="0.25">
      <c r="V144" s="5"/>
      <c r="W144" s="5"/>
      <c r="X144" s="5"/>
      <c r="Y144" s="5"/>
      <c r="BY144" s="5"/>
      <c r="BZ144" s="5"/>
      <c r="CA144" s="5"/>
      <c r="CB144" s="5"/>
      <c r="CC144" s="5"/>
    </row>
    <row r="145" spans="22:81" x14ac:dyDescent="0.25">
      <c r="V145" s="5"/>
      <c r="W145" s="5"/>
      <c r="X145" s="5"/>
      <c r="Y145" s="5"/>
      <c r="BY145" s="5"/>
      <c r="BZ145" s="5"/>
      <c r="CA145" s="5"/>
      <c r="CB145" s="5"/>
      <c r="CC145" s="5"/>
    </row>
    <row r="146" spans="22:81" x14ac:dyDescent="0.25">
      <c r="V146" s="5"/>
      <c r="W146" s="5"/>
      <c r="X146" s="5"/>
      <c r="Y146" s="5"/>
      <c r="BY146" s="5"/>
      <c r="BZ146" s="5"/>
      <c r="CA146" s="5"/>
      <c r="CB146" s="5"/>
      <c r="CC146" s="5"/>
    </row>
    <row r="147" spans="22:81" x14ac:dyDescent="0.25">
      <c r="V147" s="5"/>
      <c r="W147" s="5"/>
      <c r="X147" s="5"/>
      <c r="Y147" s="5"/>
      <c r="BY147" s="5"/>
      <c r="BZ147" s="5"/>
      <c r="CA147" s="5"/>
      <c r="CB147" s="5"/>
      <c r="CC147" s="5"/>
    </row>
    <row r="148" spans="22:81" x14ac:dyDescent="0.25">
      <c r="V148" s="5"/>
      <c r="W148" s="5"/>
      <c r="X148" s="5"/>
      <c r="Y148" s="5"/>
      <c r="BY148" s="5"/>
      <c r="BZ148" s="5"/>
      <c r="CA148" s="5"/>
      <c r="CB148" s="5"/>
      <c r="CC148" s="5"/>
    </row>
    <row r="149" spans="22:81" x14ac:dyDescent="0.25">
      <c r="V149" s="5"/>
      <c r="W149" s="5"/>
      <c r="X149" s="5"/>
      <c r="Y149" s="5"/>
      <c r="BY149" s="5"/>
      <c r="BZ149" s="5"/>
      <c r="CA149" s="5"/>
      <c r="CB149" s="5"/>
      <c r="CC149" s="5"/>
    </row>
    <row r="150" spans="22:81" x14ac:dyDescent="0.25">
      <c r="V150" s="5"/>
      <c r="W150" s="5"/>
      <c r="X150" s="5"/>
      <c r="Y150" s="5"/>
      <c r="BY150" s="5"/>
      <c r="BZ150" s="5"/>
      <c r="CA150" s="5"/>
      <c r="CB150" s="5"/>
      <c r="CC150" s="5"/>
    </row>
    <row r="151" spans="22:81" x14ac:dyDescent="0.25">
      <c r="V151" s="5"/>
      <c r="W151" s="5"/>
      <c r="X151" s="5"/>
      <c r="Y151" s="5"/>
      <c r="BY151" s="5"/>
      <c r="BZ151" s="5"/>
      <c r="CA151" s="5"/>
      <c r="CB151" s="5"/>
      <c r="CC151" s="5"/>
    </row>
    <row r="152" spans="22:81" x14ac:dyDescent="0.25">
      <c r="V152" s="5"/>
      <c r="W152" s="5"/>
      <c r="X152" s="5"/>
      <c r="Y152" s="5"/>
      <c r="BY152" s="5"/>
      <c r="BZ152" s="5"/>
      <c r="CA152" s="5"/>
      <c r="CB152" s="5"/>
      <c r="CC152" s="5"/>
    </row>
    <row r="153" spans="22:81" x14ac:dyDescent="0.25">
      <c r="V153" s="5"/>
      <c r="W153" s="5"/>
      <c r="X153" s="5"/>
      <c r="Y153" s="5"/>
      <c r="BY153" s="5"/>
      <c r="BZ153" s="5"/>
      <c r="CA153" s="5"/>
      <c r="CB153" s="5"/>
      <c r="CC153" s="5"/>
    </row>
    <row r="154" spans="22:81" x14ac:dyDescent="0.25">
      <c r="V154" s="5"/>
      <c r="W154" s="5"/>
      <c r="X154" s="5"/>
      <c r="Y154" s="5"/>
      <c r="BY154" s="5"/>
      <c r="BZ154" s="5"/>
      <c r="CA154" s="5"/>
      <c r="CB154" s="5"/>
      <c r="CC154" s="5"/>
    </row>
    <row r="155" spans="22:81" x14ac:dyDescent="0.25">
      <c r="V155" s="5"/>
      <c r="W155" s="5"/>
      <c r="X155" s="5"/>
      <c r="Y155" s="5"/>
      <c r="BY155" s="5"/>
      <c r="BZ155" s="5"/>
      <c r="CA155" s="5"/>
      <c r="CB155" s="5"/>
      <c r="CC155" s="5"/>
    </row>
    <row r="156" spans="22:81" x14ac:dyDescent="0.25">
      <c r="V156" s="5"/>
      <c r="W156" s="5"/>
      <c r="X156" s="5"/>
      <c r="Y156" s="5"/>
      <c r="BY156" s="5"/>
      <c r="BZ156" s="5"/>
      <c r="CA156" s="5"/>
      <c r="CB156" s="5"/>
      <c r="CC156" s="5"/>
    </row>
    <row r="157" spans="22:81" x14ac:dyDescent="0.25">
      <c r="V157" s="5"/>
      <c r="W157" s="5"/>
      <c r="X157" s="5"/>
      <c r="Y157" s="5"/>
      <c r="BY157" s="5"/>
      <c r="BZ157" s="5"/>
      <c r="CA157" s="5"/>
      <c r="CB157" s="5"/>
      <c r="CC157" s="5"/>
    </row>
    <row r="158" spans="22:81" x14ac:dyDescent="0.25">
      <c r="V158" s="5"/>
      <c r="W158" s="5"/>
      <c r="X158" s="5"/>
      <c r="Y158" s="5"/>
      <c r="BY158" s="5"/>
      <c r="BZ158" s="5"/>
      <c r="CA158" s="5"/>
      <c r="CB158" s="5"/>
      <c r="CC158" s="5"/>
    </row>
    <row r="159" spans="22:81" x14ac:dyDescent="0.25">
      <c r="V159" s="5"/>
      <c r="W159" s="5"/>
      <c r="X159" s="5"/>
      <c r="Y159" s="5"/>
      <c r="BY159" s="5"/>
      <c r="BZ159" s="5"/>
      <c r="CA159" s="5"/>
      <c r="CB159" s="5"/>
      <c r="CC159" s="5"/>
    </row>
    <row r="160" spans="22:81" x14ac:dyDescent="0.25">
      <c r="V160" s="5"/>
      <c r="W160" s="5"/>
      <c r="X160" s="5"/>
      <c r="Y160" s="5"/>
      <c r="BY160" s="5"/>
      <c r="BZ160" s="5"/>
      <c r="CA160" s="5"/>
      <c r="CB160" s="5"/>
      <c r="CC160" s="5"/>
    </row>
    <row r="161" spans="22:81" x14ac:dyDescent="0.25">
      <c r="V161" s="5"/>
      <c r="W161" s="5"/>
      <c r="X161" s="5"/>
      <c r="Y161" s="5"/>
      <c r="BY161" s="5"/>
      <c r="BZ161" s="5"/>
      <c r="CA161" s="5"/>
      <c r="CB161" s="5"/>
      <c r="CC161" s="5"/>
    </row>
    <row r="162" spans="22:81" x14ac:dyDescent="0.25">
      <c r="V162" s="5"/>
      <c r="W162" s="5"/>
      <c r="X162" s="5"/>
      <c r="Y162" s="5"/>
      <c r="BY162" s="5"/>
      <c r="BZ162" s="5"/>
      <c r="CA162" s="5"/>
      <c r="CB162" s="5"/>
      <c r="CC162" s="5"/>
    </row>
    <row r="163" spans="22:81" x14ac:dyDescent="0.25">
      <c r="V163" s="5"/>
      <c r="W163" s="5"/>
      <c r="X163" s="5"/>
      <c r="Y163" s="5"/>
      <c r="BY163" s="5"/>
      <c r="BZ163" s="5"/>
      <c r="CA163" s="5"/>
      <c r="CB163" s="5"/>
      <c r="CC163" s="5"/>
    </row>
    <row r="164" spans="22:81" x14ac:dyDescent="0.25">
      <c r="V164" s="5"/>
      <c r="W164" s="5"/>
      <c r="X164" s="5"/>
      <c r="Y164" s="5"/>
      <c r="BY164" s="5"/>
      <c r="BZ164" s="5"/>
      <c r="CA164" s="5"/>
      <c r="CB164" s="5"/>
      <c r="CC164" s="5"/>
    </row>
    <row r="165" spans="22:81" x14ac:dyDescent="0.25">
      <c r="V165" s="5"/>
      <c r="W165" s="5"/>
      <c r="X165" s="5"/>
      <c r="Y165" s="5"/>
      <c r="BY165" s="5"/>
      <c r="BZ165" s="5"/>
      <c r="CA165" s="5"/>
      <c r="CB165" s="5"/>
      <c r="CC165" s="5"/>
    </row>
    <row r="166" spans="22:81" x14ac:dyDescent="0.25">
      <c r="V166" s="5"/>
      <c r="W166" s="5"/>
      <c r="X166" s="5"/>
      <c r="Y166" s="5"/>
      <c r="BY166" s="5"/>
      <c r="BZ166" s="5"/>
      <c r="CA166" s="5"/>
      <c r="CB166" s="5"/>
      <c r="CC166" s="5"/>
    </row>
    <row r="167" spans="22:81" x14ac:dyDescent="0.25">
      <c r="V167" s="5"/>
      <c r="W167" s="5"/>
      <c r="X167" s="5"/>
      <c r="Y167" s="5"/>
      <c r="BY167" s="5"/>
      <c r="BZ167" s="5"/>
      <c r="CA167" s="5"/>
      <c r="CB167" s="5"/>
      <c r="CC167" s="5"/>
    </row>
    <row r="168" spans="22:81" x14ac:dyDescent="0.25">
      <c r="V168" s="5"/>
      <c r="W168" s="5"/>
      <c r="X168" s="5"/>
      <c r="Y168" s="5"/>
      <c r="BY168" s="5"/>
      <c r="BZ168" s="5"/>
      <c r="CA168" s="5"/>
      <c r="CB168" s="5"/>
      <c r="CC168" s="5"/>
    </row>
    <row r="169" spans="22:81" x14ac:dyDescent="0.25">
      <c r="V169" s="5"/>
      <c r="W169" s="5"/>
      <c r="X169" s="5"/>
      <c r="Y169" s="5"/>
      <c r="BY169" s="5"/>
      <c r="BZ169" s="5"/>
      <c r="CA169" s="5"/>
      <c r="CB169" s="5"/>
      <c r="CC169" s="5"/>
    </row>
    <row r="170" spans="22:81" x14ac:dyDescent="0.25">
      <c r="V170" s="5"/>
      <c r="W170" s="5"/>
      <c r="X170" s="5"/>
      <c r="Y170" s="5"/>
      <c r="BY170" s="5"/>
      <c r="BZ170" s="5"/>
      <c r="CA170" s="5"/>
      <c r="CB170" s="5"/>
      <c r="CC170" s="5"/>
    </row>
    <row r="171" spans="22:81" x14ac:dyDescent="0.25">
      <c r="V171" s="5"/>
      <c r="W171" s="5"/>
      <c r="X171" s="5"/>
      <c r="Y171" s="5"/>
      <c r="BY171" s="5"/>
      <c r="BZ171" s="5"/>
      <c r="CA171" s="5"/>
      <c r="CB171" s="5"/>
      <c r="CC171" s="5"/>
    </row>
    <row r="172" spans="22:81" x14ac:dyDescent="0.25">
      <c r="V172" s="5"/>
      <c r="W172" s="5"/>
      <c r="X172" s="5"/>
      <c r="Y172" s="5"/>
      <c r="BY172" s="5"/>
      <c r="BZ172" s="5"/>
      <c r="CA172" s="5"/>
      <c r="CB172" s="5"/>
      <c r="CC172" s="5"/>
    </row>
    <row r="173" spans="22:81" x14ac:dyDescent="0.25">
      <c r="V173" s="5"/>
      <c r="W173" s="5"/>
      <c r="X173" s="5"/>
      <c r="Y173" s="5"/>
      <c r="BY173" s="5"/>
      <c r="BZ173" s="5"/>
      <c r="CA173" s="5"/>
      <c r="CB173" s="5"/>
      <c r="CC173" s="5"/>
    </row>
    <row r="174" spans="22:81" x14ac:dyDescent="0.25">
      <c r="V174" s="5"/>
      <c r="W174" s="5"/>
      <c r="X174" s="5"/>
      <c r="Y174" s="5"/>
      <c r="BY174" s="5"/>
      <c r="BZ174" s="5"/>
      <c r="CA174" s="5"/>
      <c r="CB174" s="5"/>
      <c r="CC174" s="5"/>
    </row>
    <row r="175" spans="22:81" x14ac:dyDescent="0.25">
      <c r="V175" s="5"/>
      <c r="W175" s="5"/>
      <c r="X175" s="5"/>
      <c r="Y175" s="5"/>
      <c r="BY175" s="5"/>
      <c r="BZ175" s="5"/>
      <c r="CA175" s="5"/>
      <c r="CB175" s="5"/>
      <c r="CC175" s="5"/>
    </row>
    <row r="176" spans="22:81" x14ac:dyDescent="0.25">
      <c r="V176" s="5"/>
      <c r="W176" s="5"/>
      <c r="X176" s="5"/>
      <c r="Y176" s="5"/>
      <c r="BY176" s="5"/>
      <c r="BZ176" s="5"/>
      <c r="CA176" s="5"/>
      <c r="CB176" s="5"/>
      <c r="CC176" s="5"/>
    </row>
    <row r="177" spans="22:81" x14ac:dyDescent="0.25">
      <c r="V177" s="5"/>
      <c r="W177" s="5"/>
      <c r="X177" s="5"/>
      <c r="Y177" s="5"/>
      <c r="BY177" s="5"/>
      <c r="BZ177" s="5"/>
      <c r="CA177" s="5"/>
      <c r="CB177" s="5"/>
      <c r="CC177" s="5"/>
    </row>
    <row r="178" spans="22:81" x14ac:dyDescent="0.25">
      <c r="V178" s="5"/>
      <c r="W178" s="5"/>
      <c r="X178" s="5"/>
      <c r="Y178" s="5"/>
      <c r="BY178" s="5"/>
      <c r="BZ178" s="5"/>
      <c r="CA178" s="5"/>
      <c r="CB178" s="5"/>
      <c r="CC178" s="5"/>
    </row>
    <row r="179" spans="22:81" x14ac:dyDescent="0.25">
      <c r="V179" s="5"/>
      <c r="W179" s="5"/>
      <c r="X179" s="5"/>
      <c r="Y179" s="5"/>
      <c r="BY179" s="5"/>
      <c r="BZ179" s="5"/>
      <c r="CA179" s="5"/>
      <c r="CB179" s="5"/>
      <c r="CC179" s="5"/>
    </row>
    <row r="180" spans="22:81" x14ac:dyDescent="0.25">
      <c r="V180" s="5"/>
      <c r="W180" s="5"/>
      <c r="X180" s="5"/>
      <c r="Y180" s="5"/>
      <c r="BY180" s="5"/>
      <c r="BZ180" s="5"/>
      <c r="CA180" s="5"/>
      <c r="CB180" s="5"/>
      <c r="CC180" s="5"/>
    </row>
    <row r="181" spans="22:81" x14ac:dyDescent="0.25">
      <c r="V181" s="5"/>
      <c r="W181" s="5"/>
      <c r="X181" s="5"/>
      <c r="Y181" s="5"/>
      <c r="BY181" s="5"/>
      <c r="BZ181" s="5"/>
      <c r="CA181" s="5"/>
      <c r="CB181" s="5"/>
      <c r="CC181" s="5"/>
    </row>
    <row r="182" spans="22:81" x14ac:dyDescent="0.25">
      <c r="V182" s="5"/>
      <c r="W182" s="5"/>
      <c r="X182" s="5"/>
      <c r="Y182" s="5"/>
      <c r="BY182" s="5"/>
      <c r="BZ182" s="5"/>
      <c r="CA182" s="5"/>
      <c r="CB182" s="5"/>
      <c r="CC182" s="5"/>
    </row>
    <row r="183" spans="22:81" x14ac:dyDescent="0.25">
      <c r="V183" s="5"/>
      <c r="W183" s="5"/>
      <c r="X183" s="5"/>
      <c r="Y183" s="5"/>
      <c r="BY183" s="5"/>
      <c r="BZ183" s="5"/>
      <c r="CA183" s="5"/>
      <c r="CB183" s="5"/>
      <c r="CC183" s="5"/>
    </row>
    <row r="184" spans="22:81" x14ac:dyDescent="0.25">
      <c r="V184" s="5"/>
      <c r="W184" s="5"/>
      <c r="X184" s="5"/>
      <c r="Y184" s="5"/>
      <c r="BY184" s="5"/>
      <c r="BZ184" s="5"/>
      <c r="CA184" s="5"/>
      <c r="CB184" s="5"/>
      <c r="CC184" s="5"/>
    </row>
    <row r="185" spans="22:81" x14ac:dyDescent="0.25">
      <c r="V185" s="5"/>
      <c r="W185" s="5"/>
      <c r="X185" s="5"/>
      <c r="Y185" s="5"/>
      <c r="BY185" s="5"/>
      <c r="BZ185" s="5"/>
      <c r="CA185" s="5"/>
      <c r="CB185" s="5"/>
      <c r="CC185" s="5"/>
    </row>
    <row r="186" spans="22:81" x14ac:dyDescent="0.25">
      <c r="V186" s="5"/>
      <c r="W186" s="5"/>
      <c r="X186" s="5"/>
      <c r="Y186" s="5"/>
      <c r="BY186" s="5"/>
      <c r="BZ186" s="5"/>
      <c r="CA186" s="5"/>
      <c r="CB186" s="5"/>
      <c r="CC186" s="5"/>
    </row>
    <row r="187" spans="22:81" x14ac:dyDescent="0.25">
      <c r="V187" s="5"/>
      <c r="W187" s="5"/>
      <c r="X187" s="5"/>
      <c r="Y187" s="5"/>
      <c r="BY187" s="5"/>
      <c r="BZ187" s="5"/>
      <c r="CA187" s="5"/>
      <c r="CB187" s="5"/>
      <c r="CC187" s="5"/>
    </row>
    <row r="188" spans="22:81" x14ac:dyDescent="0.25">
      <c r="V188" s="5"/>
      <c r="W188" s="5"/>
      <c r="X188" s="5"/>
      <c r="Y188" s="5"/>
      <c r="BY188" s="5"/>
      <c r="BZ188" s="5"/>
      <c r="CA188" s="5"/>
      <c r="CB188" s="5"/>
      <c r="CC188" s="5"/>
    </row>
    <row r="189" spans="22:81" x14ac:dyDescent="0.25">
      <c r="V189" s="5"/>
      <c r="W189" s="5"/>
      <c r="X189" s="5"/>
      <c r="Y189" s="5"/>
      <c r="BY189" s="5"/>
      <c r="BZ189" s="5"/>
      <c r="CA189" s="5"/>
      <c r="CB189" s="5"/>
      <c r="CC189" s="5"/>
    </row>
    <row r="190" spans="22:81" x14ac:dyDescent="0.25">
      <c r="V190" s="5"/>
      <c r="W190" s="5"/>
      <c r="X190" s="5"/>
      <c r="Y190" s="5"/>
      <c r="BY190" s="5"/>
      <c r="BZ190" s="5"/>
      <c r="CA190" s="5"/>
      <c r="CB190" s="5"/>
      <c r="CC190" s="5"/>
    </row>
    <row r="191" spans="22:81" x14ac:dyDescent="0.25">
      <c r="V191" s="5"/>
      <c r="W191" s="5"/>
      <c r="X191" s="5"/>
      <c r="Y191" s="5"/>
      <c r="BY191" s="5"/>
      <c r="BZ191" s="5"/>
      <c r="CA191" s="5"/>
      <c r="CB191" s="5"/>
      <c r="CC191" s="5"/>
    </row>
    <row r="192" spans="22:81" x14ac:dyDescent="0.25">
      <c r="V192" s="5"/>
      <c r="W192" s="5"/>
      <c r="X192" s="5"/>
      <c r="Y192" s="5"/>
      <c r="BY192" s="5"/>
      <c r="BZ192" s="5"/>
      <c r="CA192" s="5"/>
      <c r="CB192" s="5"/>
      <c r="CC192" s="5"/>
    </row>
    <row r="193" spans="22:81" x14ac:dyDescent="0.25">
      <c r="V193" s="5"/>
      <c r="W193" s="5"/>
      <c r="X193" s="5"/>
      <c r="Y193" s="5"/>
      <c r="BY193" s="5"/>
      <c r="BZ193" s="5"/>
      <c r="CA193" s="5"/>
      <c r="CB193" s="5"/>
      <c r="CC193" s="5"/>
    </row>
    <row r="194" spans="22:81" x14ac:dyDescent="0.25">
      <c r="V194" s="5"/>
      <c r="W194" s="5"/>
      <c r="X194" s="5"/>
      <c r="Y194" s="5"/>
      <c r="BY194" s="5"/>
      <c r="BZ194" s="5"/>
      <c r="CA194" s="5"/>
      <c r="CB194" s="5"/>
      <c r="CC194" s="5"/>
    </row>
    <row r="195" spans="22:81" x14ac:dyDescent="0.25">
      <c r="V195" s="5"/>
      <c r="W195" s="5"/>
      <c r="X195" s="5"/>
      <c r="Y195" s="5"/>
      <c r="BY195" s="5"/>
      <c r="BZ195" s="5"/>
      <c r="CA195" s="5"/>
      <c r="CB195" s="5"/>
      <c r="CC195" s="5"/>
    </row>
    <row r="196" spans="22:81" x14ac:dyDescent="0.25">
      <c r="V196" s="5"/>
      <c r="W196" s="5"/>
      <c r="X196" s="5"/>
      <c r="Y196" s="5"/>
      <c r="BY196" s="5"/>
      <c r="BZ196" s="5"/>
      <c r="CA196" s="5"/>
      <c r="CB196" s="5"/>
      <c r="CC196" s="5"/>
    </row>
    <row r="197" spans="22:81" x14ac:dyDescent="0.25">
      <c r="V197" s="5"/>
      <c r="W197" s="5"/>
      <c r="X197" s="5"/>
      <c r="Y197" s="5"/>
      <c r="BY197" s="5"/>
      <c r="BZ197" s="5"/>
      <c r="CA197" s="5"/>
      <c r="CB197" s="5"/>
      <c r="CC197" s="5"/>
    </row>
    <row r="198" spans="22:81" x14ac:dyDescent="0.25">
      <c r="V198" s="5"/>
      <c r="W198" s="5"/>
      <c r="X198" s="5"/>
      <c r="Y198" s="5"/>
      <c r="BY198" s="5"/>
      <c r="BZ198" s="5"/>
      <c r="CA198" s="5"/>
      <c r="CB198" s="5"/>
      <c r="CC198" s="5"/>
    </row>
    <row r="199" spans="22:81" x14ac:dyDescent="0.25">
      <c r="V199" s="5"/>
      <c r="W199" s="5"/>
      <c r="X199" s="5"/>
      <c r="Y199" s="5"/>
      <c r="BY199" s="5"/>
      <c r="BZ199" s="5"/>
      <c r="CA199" s="5"/>
      <c r="CB199" s="5"/>
      <c r="CC199" s="5"/>
    </row>
    <row r="200" spans="22:81" x14ac:dyDescent="0.25">
      <c r="V200" s="5"/>
      <c r="W200" s="5"/>
      <c r="X200" s="5"/>
      <c r="Y200" s="5"/>
      <c r="BY200" s="5"/>
      <c r="BZ200" s="5"/>
      <c r="CA200" s="5"/>
      <c r="CB200" s="5"/>
      <c r="CC200" s="5"/>
    </row>
    <row r="201" spans="22:81" x14ac:dyDescent="0.25">
      <c r="V201" s="5"/>
      <c r="W201" s="5"/>
      <c r="X201" s="5"/>
      <c r="Y201" s="5"/>
      <c r="BY201" s="5"/>
      <c r="BZ201" s="5"/>
      <c r="CA201" s="5"/>
      <c r="CB201" s="5"/>
      <c r="CC201" s="5"/>
    </row>
    <row r="202" spans="22:81" x14ac:dyDescent="0.25">
      <c r="V202" s="5"/>
      <c r="W202" s="5"/>
      <c r="X202" s="5"/>
      <c r="Y202" s="5"/>
      <c r="BY202" s="5"/>
      <c r="BZ202" s="5"/>
      <c r="CA202" s="5"/>
      <c r="CB202" s="5"/>
      <c r="CC202" s="5"/>
    </row>
    <row r="203" spans="22:81" x14ac:dyDescent="0.25">
      <c r="V203" s="5"/>
      <c r="W203" s="5"/>
      <c r="X203" s="5"/>
      <c r="Y203" s="5"/>
      <c r="BY203" s="5"/>
      <c r="BZ203" s="5"/>
      <c r="CA203" s="5"/>
      <c r="CB203" s="5"/>
      <c r="CC203" s="5"/>
    </row>
    <row r="204" spans="22:81" x14ac:dyDescent="0.25">
      <c r="V204" s="5"/>
      <c r="W204" s="5"/>
      <c r="X204" s="5"/>
      <c r="Y204" s="5"/>
      <c r="BY204" s="5"/>
      <c r="BZ204" s="5"/>
      <c r="CA204" s="5"/>
      <c r="CB204" s="5"/>
      <c r="CC204" s="5"/>
    </row>
    <row r="205" spans="22:81" x14ac:dyDescent="0.25">
      <c r="V205" s="5"/>
      <c r="W205" s="5"/>
      <c r="X205" s="5"/>
      <c r="Y205" s="5"/>
      <c r="BY205" s="5"/>
      <c r="BZ205" s="5"/>
      <c r="CA205" s="5"/>
      <c r="CB205" s="5"/>
      <c r="CC205" s="5"/>
    </row>
    <row r="206" spans="22:81" x14ac:dyDescent="0.25">
      <c r="V206" s="5"/>
      <c r="W206" s="5"/>
      <c r="X206" s="5"/>
      <c r="Y206" s="5"/>
      <c r="BY206" s="5"/>
      <c r="BZ206" s="5"/>
      <c r="CA206" s="5"/>
      <c r="CB206" s="5"/>
      <c r="CC206" s="5"/>
    </row>
    <row r="207" spans="22:81" x14ac:dyDescent="0.25">
      <c r="V207" s="5"/>
      <c r="W207" s="5"/>
      <c r="X207" s="5"/>
      <c r="Y207" s="5"/>
      <c r="BY207" s="5"/>
      <c r="BZ207" s="5"/>
      <c r="CA207" s="5"/>
      <c r="CB207" s="5"/>
      <c r="CC207" s="5"/>
    </row>
    <row r="208" spans="22:81" x14ac:dyDescent="0.25">
      <c r="V208" s="5"/>
      <c r="W208" s="5"/>
      <c r="X208" s="5"/>
      <c r="Y208" s="5"/>
      <c r="BY208" s="5"/>
      <c r="BZ208" s="5"/>
      <c r="CA208" s="5"/>
      <c r="CB208" s="5"/>
      <c r="CC208" s="5"/>
    </row>
    <row r="209" spans="22:81" x14ac:dyDescent="0.25">
      <c r="V209" s="5"/>
      <c r="W209" s="5"/>
      <c r="X209" s="5"/>
      <c r="Y209" s="5"/>
      <c r="BY209" s="5"/>
      <c r="BZ209" s="5"/>
      <c r="CA209" s="5"/>
      <c r="CB209" s="5"/>
      <c r="CC209" s="5"/>
    </row>
    <row r="210" spans="22:81" x14ac:dyDescent="0.25">
      <c r="V210" s="5"/>
      <c r="W210" s="5"/>
      <c r="X210" s="5"/>
      <c r="Y210" s="5"/>
      <c r="BY210" s="5"/>
      <c r="BZ210" s="5"/>
      <c r="CA210" s="5"/>
      <c r="CB210" s="5"/>
      <c r="CC210" s="5"/>
    </row>
    <row r="211" spans="22:81" x14ac:dyDescent="0.25">
      <c r="V211" s="5"/>
      <c r="W211" s="5"/>
      <c r="X211" s="5"/>
      <c r="Y211" s="5"/>
      <c r="BY211" s="5"/>
      <c r="BZ211" s="5"/>
      <c r="CA211" s="5"/>
      <c r="CB211" s="5"/>
      <c r="CC211" s="5"/>
    </row>
    <row r="212" spans="22:81" x14ac:dyDescent="0.25">
      <c r="V212" s="5"/>
      <c r="W212" s="5"/>
      <c r="X212" s="5"/>
      <c r="Y212" s="5"/>
      <c r="BY212" s="5"/>
      <c r="BZ212" s="5"/>
      <c r="CA212" s="5"/>
      <c r="CB212" s="5"/>
      <c r="CC212" s="5"/>
    </row>
    <row r="213" spans="22:81" x14ac:dyDescent="0.25">
      <c r="V213" s="5"/>
      <c r="W213" s="5"/>
      <c r="X213" s="5"/>
      <c r="Y213" s="5"/>
      <c r="BY213" s="5"/>
      <c r="BZ213" s="5"/>
      <c r="CA213" s="5"/>
      <c r="CB213" s="5"/>
      <c r="CC213" s="5"/>
    </row>
    <row r="214" spans="22:81" x14ac:dyDescent="0.25">
      <c r="V214" s="5"/>
      <c r="W214" s="5"/>
      <c r="X214" s="5"/>
      <c r="Y214" s="5"/>
      <c r="BY214" s="5"/>
      <c r="BZ214" s="5"/>
      <c r="CA214" s="5"/>
      <c r="CB214" s="5"/>
      <c r="CC214" s="5"/>
    </row>
    <row r="215" spans="22:81" x14ac:dyDescent="0.25">
      <c r="V215" s="5"/>
      <c r="W215" s="5"/>
      <c r="X215" s="5"/>
      <c r="Y215" s="5"/>
      <c r="BY215" s="5"/>
      <c r="BZ215" s="5"/>
      <c r="CA215" s="5"/>
      <c r="CB215" s="5"/>
      <c r="CC215" s="5"/>
    </row>
    <row r="216" spans="22:81" x14ac:dyDescent="0.25">
      <c r="V216" s="5"/>
      <c r="W216" s="5"/>
      <c r="X216" s="5"/>
      <c r="Y216" s="5"/>
      <c r="BY216" s="5"/>
      <c r="BZ216" s="5"/>
      <c r="CA216" s="5"/>
      <c r="CB216" s="5"/>
      <c r="CC216" s="5"/>
    </row>
    <row r="217" spans="22:81" x14ac:dyDescent="0.25">
      <c r="V217" s="5"/>
      <c r="W217" s="5"/>
      <c r="X217" s="5"/>
      <c r="Y217" s="5"/>
      <c r="BY217" s="5"/>
      <c r="BZ217" s="5"/>
      <c r="CA217" s="5"/>
      <c r="CB217" s="5"/>
      <c r="CC217" s="5"/>
    </row>
    <row r="218" spans="22:81" x14ac:dyDescent="0.25">
      <c r="V218" s="5"/>
      <c r="W218" s="5"/>
      <c r="X218" s="5"/>
      <c r="Y218" s="5"/>
      <c r="BY218" s="5"/>
      <c r="BZ218" s="5"/>
      <c r="CA218" s="5"/>
      <c r="CB218" s="5"/>
      <c r="CC218" s="5"/>
    </row>
    <row r="219" spans="22:81" x14ac:dyDescent="0.25">
      <c r="V219" s="5"/>
      <c r="W219" s="5"/>
      <c r="X219" s="5"/>
      <c r="Y219" s="5"/>
      <c r="BY219" s="5"/>
      <c r="BZ219" s="5"/>
      <c r="CA219" s="5"/>
      <c r="CB219" s="5"/>
      <c r="CC219" s="5"/>
    </row>
    <row r="220" spans="22:81" x14ac:dyDescent="0.25">
      <c r="V220" s="5"/>
      <c r="W220" s="5"/>
      <c r="X220" s="5"/>
      <c r="Y220" s="5"/>
      <c r="BY220" s="5"/>
      <c r="BZ220" s="5"/>
      <c r="CA220" s="5"/>
      <c r="CB220" s="5"/>
      <c r="CC220" s="5"/>
    </row>
    <row r="221" spans="22:81" x14ac:dyDescent="0.25">
      <c r="V221" s="5"/>
      <c r="W221" s="5"/>
      <c r="X221" s="5"/>
      <c r="Y221" s="5"/>
      <c r="BY221" s="5"/>
      <c r="BZ221" s="5"/>
      <c r="CA221" s="5"/>
      <c r="CB221" s="5"/>
      <c r="CC221" s="5"/>
    </row>
    <row r="222" spans="22:81" x14ac:dyDescent="0.25">
      <c r="V222" s="5"/>
      <c r="W222" s="5"/>
      <c r="X222" s="5"/>
      <c r="Y222" s="5"/>
      <c r="BY222" s="5"/>
      <c r="BZ222" s="5"/>
      <c r="CA222" s="5"/>
      <c r="CB222" s="5"/>
      <c r="CC222" s="5"/>
    </row>
    <row r="223" spans="22:81" x14ac:dyDescent="0.25">
      <c r="V223" s="5"/>
      <c r="W223" s="5"/>
      <c r="X223" s="5"/>
      <c r="Y223" s="5"/>
      <c r="BY223" s="5"/>
      <c r="BZ223" s="5"/>
      <c r="CA223" s="5"/>
      <c r="CB223" s="5"/>
      <c r="CC223" s="5"/>
    </row>
    <row r="224" spans="22:81" x14ac:dyDescent="0.25">
      <c r="V224" s="5"/>
      <c r="W224" s="5"/>
      <c r="X224" s="5"/>
      <c r="Y224" s="5"/>
      <c r="BY224" s="5"/>
      <c r="BZ224" s="5"/>
      <c r="CA224" s="5"/>
      <c r="CB224" s="5"/>
      <c r="CC224" s="5"/>
    </row>
    <row r="225" spans="22:81" x14ac:dyDescent="0.25">
      <c r="V225" s="5"/>
      <c r="W225" s="5"/>
      <c r="X225" s="5"/>
      <c r="Y225" s="5"/>
      <c r="BY225" s="5"/>
      <c r="BZ225" s="5"/>
      <c r="CA225" s="5"/>
      <c r="CB225" s="5"/>
      <c r="CC225" s="5"/>
    </row>
    <row r="226" spans="22:81" x14ac:dyDescent="0.25">
      <c r="V226" s="5"/>
      <c r="W226" s="5"/>
      <c r="X226" s="5"/>
      <c r="Y226" s="5"/>
      <c r="BY226" s="5"/>
      <c r="BZ226" s="5"/>
      <c r="CA226" s="5"/>
      <c r="CB226" s="5"/>
      <c r="CC226" s="5"/>
    </row>
    <row r="227" spans="22:81" x14ac:dyDescent="0.25">
      <c r="V227" s="5"/>
      <c r="W227" s="5"/>
      <c r="X227" s="5"/>
      <c r="Y227" s="5"/>
      <c r="BY227" s="5"/>
      <c r="BZ227" s="5"/>
      <c r="CA227" s="5"/>
      <c r="CB227" s="5"/>
      <c r="CC227" s="5"/>
    </row>
    <row r="228" spans="22:81" x14ac:dyDescent="0.25">
      <c r="V228" s="5"/>
      <c r="W228" s="5"/>
      <c r="X228" s="5"/>
      <c r="Y228" s="5"/>
      <c r="BY228" s="5"/>
      <c r="BZ228" s="5"/>
      <c r="CA228" s="5"/>
      <c r="CB228" s="5"/>
      <c r="CC228" s="5"/>
    </row>
    <row r="229" spans="22:81" x14ac:dyDescent="0.25">
      <c r="V229" s="5"/>
      <c r="W229" s="5"/>
      <c r="X229" s="5"/>
      <c r="Y229" s="5"/>
      <c r="BY229" s="5"/>
      <c r="BZ229" s="5"/>
      <c r="CA229" s="5"/>
      <c r="CB229" s="5"/>
      <c r="CC229" s="5"/>
    </row>
    <row r="230" spans="22:81" x14ac:dyDescent="0.25">
      <c r="V230" s="5"/>
      <c r="W230" s="5"/>
      <c r="X230" s="5"/>
      <c r="Y230" s="5"/>
      <c r="BY230" s="5"/>
      <c r="BZ230" s="5"/>
      <c r="CA230" s="5"/>
      <c r="CB230" s="5"/>
      <c r="CC230" s="5"/>
    </row>
    <row r="231" spans="22:81" x14ac:dyDescent="0.25">
      <c r="V231" s="5"/>
      <c r="W231" s="5"/>
      <c r="X231" s="5"/>
      <c r="Y231" s="5"/>
      <c r="BY231" s="5"/>
      <c r="BZ231" s="5"/>
      <c r="CA231" s="5"/>
      <c r="CB231" s="5"/>
      <c r="CC231" s="5"/>
    </row>
    <row r="232" spans="22:81" x14ac:dyDescent="0.25">
      <c r="V232" s="5"/>
      <c r="W232" s="5"/>
      <c r="X232" s="5"/>
      <c r="Y232" s="5"/>
      <c r="BY232" s="5"/>
      <c r="BZ232" s="5"/>
      <c r="CA232" s="5"/>
      <c r="CB232" s="5"/>
      <c r="CC232" s="5"/>
    </row>
    <row r="233" spans="22:81" x14ac:dyDescent="0.25">
      <c r="V233" s="5"/>
      <c r="W233" s="5"/>
      <c r="X233" s="5"/>
      <c r="Y233" s="5"/>
      <c r="BY233" s="5"/>
      <c r="BZ233" s="5"/>
      <c r="CA233" s="5"/>
      <c r="CB233" s="5"/>
      <c r="CC233" s="5"/>
    </row>
    <row r="234" spans="22:81" x14ac:dyDescent="0.25">
      <c r="V234" s="5"/>
      <c r="W234" s="5"/>
      <c r="X234" s="5"/>
      <c r="Y234" s="5"/>
      <c r="BY234" s="5"/>
      <c r="BZ234" s="5"/>
      <c r="CA234" s="5"/>
      <c r="CB234" s="5"/>
      <c r="CC234" s="5"/>
    </row>
    <row r="235" spans="22:81" x14ac:dyDescent="0.25">
      <c r="V235" s="5"/>
      <c r="W235" s="5"/>
      <c r="X235" s="5"/>
      <c r="Y235" s="5"/>
      <c r="BY235" s="5"/>
      <c r="BZ235" s="5"/>
      <c r="CA235" s="5"/>
      <c r="CB235" s="5"/>
      <c r="CC235" s="5"/>
    </row>
    <row r="236" spans="22:81" x14ac:dyDescent="0.25">
      <c r="V236" s="5"/>
      <c r="W236" s="5"/>
      <c r="X236" s="5"/>
      <c r="Y236" s="5"/>
      <c r="BY236" s="5"/>
      <c r="BZ236" s="5"/>
      <c r="CA236" s="5"/>
      <c r="CB236" s="5"/>
      <c r="CC236" s="5"/>
    </row>
    <row r="237" spans="22:81" x14ac:dyDescent="0.25">
      <c r="V237" s="5"/>
      <c r="W237" s="5"/>
      <c r="X237" s="5"/>
      <c r="Y237" s="5"/>
      <c r="BY237" s="5"/>
      <c r="BZ237" s="5"/>
      <c r="CA237" s="5"/>
      <c r="CB237" s="5"/>
      <c r="CC237" s="5"/>
    </row>
    <row r="238" spans="22:81" x14ac:dyDescent="0.25">
      <c r="V238" s="5"/>
      <c r="W238" s="5"/>
      <c r="X238" s="5"/>
      <c r="Y238" s="5"/>
      <c r="BY238" s="5"/>
      <c r="BZ238" s="5"/>
      <c r="CA238" s="5"/>
      <c r="CB238" s="5"/>
      <c r="CC238" s="5"/>
    </row>
    <row r="239" spans="22:81" x14ac:dyDescent="0.25">
      <c r="V239" s="5"/>
      <c r="W239" s="5"/>
      <c r="X239" s="5"/>
      <c r="Y239" s="5"/>
      <c r="BY239" s="5"/>
      <c r="BZ239" s="5"/>
      <c r="CA239" s="5"/>
      <c r="CB239" s="5"/>
      <c r="CC239" s="5"/>
    </row>
    <row r="240" spans="22:81" x14ac:dyDescent="0.25">
      <c r="V240" s="5"/>
      <c r="W240" s="5"/>
      <c r="X240" s="5"/>
      <c r="Y240" s="5"/>
      <c r="BY240" s="5"/>
      <c r="BZ240" s="5"/>
      <c r="CA240" s="5"/>
      <c r="CB240" s="5"/>
      <c r="CC240" s="5"/>
    </row>
    <row r="241" spans="22:81" x14ac:dyDescent="0.25">
      <c r="V241" s="5"/>
      <c r="W241" s="5"/>
      <c r="X241" s="5"/>
      <c r="Y241" s="5"/>
      <c r="BY241" s="5"/>
      <c r="BZ241" s="5"/>
      <c r="CA241" s="5"/>
      <c r="CB241" s="5"/>
      <c r="CC241" s="5"/>
    </row>
    <row r="242" spans="22:81" x14ac:dyDescent="0.25">
      <c r="V242" s="5"/>
      <c r="W242" s="5"/>
      <c r="X242" s="5"/>
      <c r="Y242" s="5"/>
      <c r="BY242" s="5"/>
      <c r="BZ242" s="5"/>
      <c r="CA242" s="5"/>
      <c r="CB242" s="5"/>
      <c r="CC242" s="5"/>
    </row>
    <row r="243" spans="22:81" x14ac:dyDescent="0.25">
      <c r="V243" s="5"/>
      <c r="W243" s="5"/>
      <c r="X243" s="5"/>
      <c r="Y243" s="5"/>
      <c r="BY243" s="5"/>
      <c r="BZ243" s="5"/>
      <c r="CA243" s="5"/>
      <c r="CB243" s="5"/>
      <c r="CC243" s="5"/>
    </row>
    <row r="244" spans="22:81" x14ac:dyDescent="0.25">
      <c r="V244" s="5"/>
      <c r="W244" s="5"/>
      <c r="X244" s="5"/>
      <c r="Y244" s="5"/>
      <c r="BY244" s="5"/>
      <c r="BZ244" s="5"/>
      <c r="CA244" s="5"/>
      <c r="CB244" s="5"/>
      <c r="CC244" s="5"/>
    </row>
    <row r="245" spans="22:81" x14ac:dyDescent="0.25">
      <c r="V245" s="5"/>
      <c r="W245" s="5"/>
      <c r="X245" s="5"/>
      <c r="Y245" s="5"/>
      <c r="BY245" s="5"/>
      <c r="BZ245" s="5"/>
      <c r="CA245" s="5"/>
      <c r="CB245" s="5"/>
      <c r="CC245" s="5"/>
    </row>
    <row r="246" spans="22:81" x14ac:dyDescent="0.25">
      <c r="V246" s="5"/>
      <c r="W246" s="5"/>
      <c r="X246" s="5"/>
      <c r="Y246" s="5"/>
      <c r="BY246" s="5"/>
      <c r="BZ246" s="5"/>
      <c r="CA246" s="5"/>
      <c r="CB246" s="5"/>
      <c r="CC246" s="5"/>
    </row>
    <row r="247" spans="22:81" x14ac:dyDescent="0.25">
      <c r="V247" s="5"/>
      <c r="W247" s="5"/>
      <c r="X247" s="5"/>
      <c r="Y247" s="5"/>
      <c r="BY247" s="5"/>
      <c r="BZ247" s="5"/>
      <c r="CA247" s="5"/>
      <c r="CB247" s="5"/>
      <c r="CC247" s="5"/>
    </row>
    <row r="248" spans="22:81" x14ac:dyDescent="0.25">
      <c r="V248" s="5"/>
      <c r="W248" s="5"/>
      <c r="X248" s="5"/>
      <c r="Y248" s="5"/>
      <c r="BY248" s="5"/>
      <c r="BZ248" s="5"/>
      <c r="CA248" s="5"/>
      <c r="CB248" s="5"/>
      <c r="CC248" s="5"/>
    </row>
    <row r="249" spans="22:81" x14ac:dyDescent="0.25">
      <c r="V249" s="5"/>
      <c r="W249" s="5"/>
      <c r="X249" s="5"/>
      <c r="Y249" s="5"/>
      <c r="BY249" s="5"/>
      <c r="BZ249" s="5"/>
      <c r="CA249" s="5"/>
      <c r="CB249" s="5"/>
      <c r="CC249" s="5"/>
    </row>
    <row r="250" spans="22:81" x14ac:dyDescent="0.25">
      <c r="V250" s="5"/>
      <c r="W250" s="5"/>
      <c r="X250" s="5"/>
      <c r="Y250" s="5"/>
      <c r="BY250" s="5"/>
      <c r="BZ250" s="5"/>
      <c r="CA250" s="5"/>
      <c r="CB250" s="5"/>
      <c r="CC250" s="5"/>
    </row>
    <row r="251" spans="22:81" x14ac:dyDescent="0.25">
      <c r="V251" s="5"/>
      <c r="W251" s="5"/>
      <c r="X251" s="5"/>
      <c r="Y251" s="5"/>
      <c r="BY251" s="5"/>
      <c r="BZ251" s="5"/>
      <c r="CA251" s="5"/>
      <c r="CB251" s="5"/>
      <c r="CC251" s="5"/>
    </row>
    <row r="252" spans="22:81" x14ac:dyDescent="0.25">
      <c r="V252" s="5"/>
      <c r="W252" s="5"/>
      <c r="X252" s="5"/>
      <c r="Y252" s="5"/>
      <c r="BY252" s="5"/>
      <c r="BZ252" s="5"/>
      <c r="CA252" s="5"/>
      <c r="CB252" s="5"/>
      <c r="CC252" s="5"/>
    </row>
    <row r="253" spans="22:81" x14ac:dyDescent="0.25">
      <c r="V253" s="5"/>
      <c r="W253" s="5"/>
      <c r="X253" s="5"/>
      <c r="Y253" s="5"/>
      <c r="BY253" s="5"/>
      <c r="BZ253" s="5"/>
      <c r="CA253" s="5"/>
      <c r="CB253" s="5"/>
      <c r="CC253" s="5"/>
    </row>
    <row r="254" spans="22:81" x14ac:dyDescent="0.25">
      <c r="V254" s="5"/>
      <c r="W254" s="5"/>
      <c r="X254" s="5"/>
      <c r="Y254" s="5"/>
      <c r="BY254" s="5"/>
      <c r="BZ254" s="5"/>
      <c r="CA254" s="5"/>
      <c r="CB254" s="5"/>
      <c r="CC254" s="5"/>
    </row>
    <row r="255" spans="22:81" x14ac:dyDescent="0.25">
      <c r="V255" s="5"/>
      <c r="W255" s="5"/>
      <c r="X255" s="5"/>
      <c r="Y255" s="5"/>
      <c r="BY255" s="5"/>
      <c r="BZ255" s="5"/>
      <c r="CA255" s="5"/>
      <c r="CB255" s="5"/>
      <c r="CC255" s="5"/>
    </row>
    <row r="256" spans="22:81" x14ac:dyDescent="0.25">
      <c r="V256" s="5"/>
      <c r="W256" s="5"/>
      <c r="X256" s="5"/>
      <c r="Y256" s="5"/>
      <c r="BY256" s="5"/>
      <c r="BZ256" s="5"/>
      <c r="CA256" s="5"/>
      <c r="CB256" s="5"/>
      <c r="CC256" s="5"/>
    </row>
    <row r="257" spans="22:81" x14ac:dyDescent="0.25">
      <c r="V257" s="5"/>
      <c r="W257" s="5"/>
      <c r="X257" s="5"/>
      <c r="Y257" s="5"/>
      <c r="BY257" s="5"/>
      <c r="BZ257" s="5"/>
      <c r="CA257" s="5"/>
      <c r="CB257" s="5"/>
      <c r="CC257" s="5"/>
    </row>
    <row r="258" spans="22:81" x14ac:dyDescent="0.25">
      <c r="V258" s="5"/>
      <c r="W258" s="5"/>
      <c r="X258" s="5"/>
      <c r="Y258" s="5"/>
      <c r="BY258" s="5"/>
      <c r="BZ258" s="5"/>
      <c r="CA258" s="5"/>
      <c r="CB258" s="5"/>
      <c r="CC258" s="5"/>
    </row>
    <row r="259" spans="22:81" x14ac:dyDescent="0.25">
      <c r="V259" s="5"/>
      <c r="W259" s="5"/>
      <c r="X259" s="5"/>
      <c r="Y259" s="5"/>
      <c r="BY259" s="5"/>
      <c r="BZ259" s="5"/>
      <c r="CA259" s="5"/>
      <c r="CB259" s="5"/>
      <c r="CC259" s="5"/>
    </row>
    <row r="260" spans="22:81" x14ac:dyDescent="0.25">
      <c r="V260" s="5"/>
      <c r="W260" s="5"/>
      <c r="X260" s="5"/>
      <c r="Y260" s="5"/>
      <c r="BY260" s="5"/>
      <c r="BZ260" s="5"/>
      <c r="CA260" s="5"/>
      <c r="CB260" s="5"/>
      <c r="CC260" s="5"/>
    </row>
    <row r="261" spans="22:81" x14ac:dyDescent="0.25">
      <c r="V261" s="5"/>
      <c r="W261" s="5"/>
      <c r="X261" s="5"/>
      <c r="Y261" s="5"/>
      <c r="BY261" s="5"/>
      <c r="BZ261" s="5"/>
      <c r="CA261" s="5"/>
      <c r="CB261" s="5"/>
      <c r="CC261" s="5"/>
    </row>
    <row r="262" spans="22:81" x14ac:dyDescent="0.25">
      <c r="V262" s="5"/>
      <c r="W262" s="5"/>
      <c r="X262" s="5"/>
      <c r="Y262" s="5"/>
      <c r="BY262" s="5"/>
      <c r="BZ262" s="5"/>
      <c r="CA262" s="5"/>
      <c r="CB262" s="5"/>
      <c r="CC262" s="5"/>
    </row>
    <row r="263" spans="22:81" x14ac:dyDescent="0.25">
      <c r="V263" s="5"/>
      <c r="W263" s="5"/>
      <c r="X263" s="5"/>
      <c r="Y263" s="5"/>
      <c r="BY263" s="5"/>
      <c r="BZ263" s="5"/>
      <c r="CA263" s="5"/>
      <c r="CB263" s="5"/>
      <c r="CC263" s="5"/>
    </row>
    <row r="264" spans="22:81" x14ac:dyDescent="0.25">
      <c r="V264" s="5"/>
      <c r="W264" s="5"/>
      <c r="X264" s="5"/>
      <c r="Y264" s="5"/>
      <c r="BY264" s="5"/>
      <c r="BZ264" s="5"/>
      <c r="CA264" s="5"/>
      <c r="CB264" s="5"/>
      <c r="CC264" s="5"/>
    </row>
    <row r="265" spans="22:81" x14ac:dyDescent="0.25">
      <c r="V265" s="5"/>
      <c r="W265" s="5"/>
      <c r="X265" s="5"/>
      <c r="Y265" s="5"/>
      <c r="BY265" s="5"/>
      <c r="BZ265" s="5"/>
      <c r="CA265" s="5"/>
      <c r="CB265" s="5"/>
      <c r="CC265" s="5"/>
    </row>
    <row r="266" spans="22:81" x14ac:dyDescent="0.25">
      <c r="V266" s="5"/>
      <c r="W266" s="5"/>
      <c r="X266" s="5"/>
      <c r="Y266" s="5"/>
      <c r="BY266" s="5"/>
      <c r="BZ266" s="5"/>
      <c r="CA266" s="5"/>
      <c r="CB266" s="5"/>
      <c r="CC266" s="5"/>
    </row>
    <row r="267" spans="22:81" x14ac:dyDescent="0.25">
      <c r="V267" s="5"/>
      <c r="W267" s="5"/>
      <c r="X267" s="5"/>
      <c r="Y267" s="5"/>
      <c r="BY267" s="5"/>
      <c r="BZ267" s="5"/>
      <c r="CA267" s="5"/>
      <c r="CB267" s="5"/>
      <c r="CC267" s="5"/>
    </row>
    <row r="268" spans="22:81" x14ac:dyDescent="0.25">
      <c r="V268" s="5"/>
      <c r="W268" s="5"/>
      <c r="X268" s="5"/>
      <c r="Y268" s="5"/>
      <c r="BY268" s="5"/>
      <c r="BZ268" s="5"/>
      <c r="CA268" s="5"/>
      <c r="CB268" s="5"/>
      <c r="CC268" s="5"/>
    </row>
    <row r="269" spans="22:81" x14ac:dyDescent="0.25">
      <c r="V269" s="5"/>
      <c r="W269" s="5"/>
      <c r="X269" s="5"/>
      <c r="Y269" s="5"/>
      <c r="BY269" s="5"/>
      <c r="BZ269" s="5"/>
      <c r="CA269" s="5"/>
      <c r="CB269" s="5"/>
      <c r="CC269" s="5"/>
    </row>
    <row r="270" spans="22:81" x14ac:dyDescent="0.25">
      <c r="V270" s="5"/>
      <c r="W270" s="5"/>
      <c r="X270" s="5"/>
      <c r="Y270" s="5"/>
      <c r="BY270" s="5"/>
      <c r="BZ270" s="5"/>
      <c r="CA270" s="5"/>
      <c r="CB270" s="5"/>
      <c r="CC270" s="5"/>
    </row>
    <row r="271" spans="22:81" x14ac:dyDescent="0.25">
      <c r="V271" s="5"/>
      <c r="W271" s="5"/>
      <c r="X271" s="5"/>
      <c r="Y271" s="5"/>
      <c r="BY271" s="5"/>
      <c r="BZ271" s="5"/>
      <c r="CA271" s="5"/>
      <c r="CB271" s="5"/>
      <c r="CC271" s="5"/>
    </row>
    <row r="272" spans="22:81" x14ac:dyDescent="0.25">
      <c r="V272" s="5"/>
      <c r="W272" s="5"/>
      <c r="X272" s="5"/>
      <c r="Y272" s="5"/>
      <c r="BY272" s="5"/>
      <c r="BZ272" s="5"/>
      <c r="CA272" s="5"/>
      <c r="CB272" s="5"/>
      <c r="CC272" s="5"/>
    </row>
    <row r="273" spans="22:81" x14ac:dyDescent="0.25">
      <c r="V273" s="5"/>
      <c r="W273" s="5"/>
      <c r="X273" s="5"/>
      <c r="Y273" s="5"/>
      <c r="BY273" s="5"/>
      <c r="BZ273" s="5"/>
      <c r="CA273" s="5"/>
      <c r="CB273" s="5"/>
      <c r="CC273" s="5"/>
    </row>
    <row r="274" spans="22:81" x14ac:dyDescent="0.25">
      <c r="V274" s="5"/>
      <c r="W274" s="5"/>
      <c r="X274" s="5"/>
      <c r="Y274" s="5"/>
      <c r="BY274" s="5"/>
      <c r="BZ274" s="5"/>
      <c r="CA274" s="5"/>
      <c r="CB274" s="5"/>
      <c r="CC274" s="5"/>
    </row>
    <row r="275" spans="22:81" x14ac:dyDescent="0.25">
      <c r="V275" s="5"/>
      <c r="W275" s="5"/>
      <c r="X275" s="5"/>
      <c r="Y275" s="5"/>
      <c r="BY275" s="5"/>
      <c r="BZ275" s="5"/>
      <c r="CA275" s="5"/>
      <c r="CB275" s="5"/>
      <c r="CC275" s="5"/>
    </row>
    <row r="276" spans="22:81" x14ac:dyDescent="0.25">
      <c r="V276" s="5"/>
      <c r="W276" s="5"/>
      <c r="X276" s="5"/>
      <c r="Y276" s="5"/>
      <c r="BY276" s="5"/>
      <c r="BZ276" s="5"/>
      <c r="CA276" s="5"/>
      <c r="CB276" s="5"/>
      <c r="CC276" s="5"/>
    </row>
    <row r="277" spans="22:81" x14ac:dyDescent="0.25">
      <c r="V277" s="5"/>
      <c r="W277" s="5"/>
      <c r="X277" s="5"/>
      <c r="Y277" s="5"/>
      <c r="BY277" s="5"/>
      <c r="BZ277" s="5"/>
      <c r="CA277" s="5"/>
      <c r="CB277" s="5"/>
      <c r="CC277" s="5"/>
    </row>
    <row r="278" spans="22:81" x14ac:dyDescent="0.25">
      <c r="V278" s="5"/>
      <c r="W278" s="5"/>
      <c r="X278" s="5"/>
      <c r="Y278" s="5"/>
      <c r="BY278" s="5"/>
      <c r="BZ278" s="5"/>
      <c r="CA278" s="5"/>
      <c r="CB278" s="5"/>
      <c r="CC278" s="5"/>
    </row>
    <row r="279" spans="22:81" x14ac:dyDescent="0.25">
      <c r="V279" s="5"/>
      <c r="W279" s="5"/>
      <c r="X279" s="5"/>
      <c r="Y279" s="5"/>
      <c r="BY279" s="5"/>
      <c r="BZ279" s="5"/>
      <c r="CA279" s="5"/>
      <c r="CB279" s="5"/>
      <c r="CC279" s="5"/>
    </row>
    <row r="280" spans="22:81" x14ac:dyDescent="0.25">
      <c r="V280" s="5"/>
      <c r="W280" s="5"/>
      <c r="X280" s="5"/>
      <c r="Y280" s="5"/>
      <c r="BY280" s="5"/>
      <c r="BZ280" s="5"/>
      <c r="CA280" s="5"/>
      <c r="CB280" s="5"/>
      <c r="CC280" s="5"/>
    </row>
    <row r="281" spans="22:81" x14ac:dyDescent="0.25">
      <c r="V281" s="5"/>
      <c r="W281" s="5"/>
      <c r="X281" s="5"/>
      <c r="Y281" s="5"/>
      <c r="BY281" s="5"/>
      <c r="BZ281" s="5"/>
      <c r="CA281" s="5"/>
      <c r="CB281" s="5"/>
      <c r="CC281" s="5"/>
    </row>
    <row r="282" spans="22:81" x14ac:dyDescent="0.25">
      <c r="V282" s="5"/>
      <c r="W282" s="5"/>
      <c r="X282" s="5"/>
      <c r="Y282" s="5"/>
      <c r="BY282" s="5"/>
      <c r="BZ282" s="5"/>
      <c r="CA282" s="5"/>
      <c r="CB282" s="5"/>
      <c r="CC282" s="5"/>
    </row>
    <row r="283" spans="22:81" x14ac:dyDescent="0.25">
      <c r="V283" s="5"/>
      <c r="W283" s="5"/>
      <c r="X283" s="5"/>
      <c r="Y283" s="5"/>
      <c r="BY283" s="5"/>
      <c r="BZ283" s="5"/>
      <c r="CA283" s="5"/>
      <c r="CB283" s="5"/>
      <c r="CC283" s="5"/>
    </row>
    <row r="284" spans="22:81" x14ac:dyDescent="0.25">
      <c r="V284" s="5"/>
      <c r="W284" s="5"/>
      <c r="X284" s="5"/>
      <c r="Y284" s="5"/>
      <c r="BY284" s="5"/>
      <c r="BZ284" s="5"/>
      <c r="CA284" s="5"/>
      <c r="CB284" s="5"/>
      <c r="CC284" s="5"/>
    </row>
    <row r="285" spans="22:81" x14ac:dyDescent="0.25">
      <c r="V285" s="5"/>
      <c r="W285" s="5"/>
      <c r="X285" s="5"/>
      <c r="Y285" s="5"/>
      <c r="BY285" s="5"/>
      <c r="BZ285" s="5"/>
      <c r="CA285" s="5"/>
      <c r="CB285" s="5"/>
      <c r="CC285" s="5"/>
    </row>
    <row r="286" spans="22:81" x14ac:dyDescent="0.25">
      <c r="V286" s="5"/>
      <c r="W286" s="5"/>
      <c r="X286" s="5"/>
      <c r="Y286" s="5"/>
      <c r="BY286" s="5"/>
      <c r="BZ286" s="5"/>
      <c r="CA286" s="5"/>
      <c r="CB286" s="5"/>
      <c r="CC286" s="5"/>
    </row>
    <row r="287" spans="22:81" x14ac:dyDescent="0.25">
      <c r="V287" s="5"/>
      <c r="W287" s="5"/>
      <c r="X287" s="5"/>
      <c r="Y287" s="5"/>
      <c r="BY287" s="5"/>
      <c r="BZ287" s="5"/>
      <c r="CA287" s="5"/>
      <c r="CB287" s="5"/>
      <c r="CC287" s="5"/>
    </row>
    <row r="288" spans="22:81" x14ac:dyDescent="0.25">
      <c r="V288" s="5"/>
      <c r="W288" s="5"/>
      <c r="X288" s="5"/>
      <c r="Y288" s="5"/>
      <c r="BY288" s="5"/>
      <c r="BZ288" s="5"/>
      <c r="CA288" s="5"/>
      <c r="CB288" s="5"/>
      <c r="CC288" s="5"/>
    </row>
    <row r="289" spans="22:81" x14ac:dyDescent="0.25">
      <c r="V289" s="5"/>
      <c r="W289" s="5"/>
      <c r="X289" s="5"/>
      <c r="Y289" s="5"/>
      <c r="BY289" s="5"/>
      <c r="BZ289" s="5"/>
      <c r="CA289" s="5"/>
      <c r="CB289" s="5"/>
      <c r="CC289" s="5"/>
    </row>
    <row r="290" spans="22:81" x14ac:dyDescent="0.25">
      <c r="V290" s="5"/>
      <c r="W290" s="5"/>
      <c r="X290" s="5"/>
      <c r="Y290" s="5"/>
      <c r="BY290" s="5"/>
      <c r="BZ290" s="5"/>
      <c r="CA290" s="5"/>
      <c r="CB290" s="5"/>
      <c r="CC290" s="5"/>
    </row>
    <row r="291" spans="22:81" x14ac:dyDescent="0.25">
      <c r="V291" s="5"/>
      <c r="W291" s="5"/>
      <c r="X291" s="5"/>
      <c r="Y291" s="5"/>
      <c r="BY291" s="5"/>
      <c r="BZ291" s="5"/>
      <c r="CA291" s="5"/>
      <c r="CB291" s="5"/>
      <c r="CC291" s="5"/>
    </row>
    <row r="292" spans="22:81" x14ac:dyDescent="0.25">
      <c r="V292" s="5"/>
      <c r="W292" s="5"/>
      <c r="X292" s="5"/>
      <c r="Y292" s="5"/>
      <c r="BY292" s="5"/>
      <c r="BZ292" s="5"/>
      <c r="CA292" s="5"/>
      <c r="CB292" s="5"/>
      <c r="CC292" s="5"/>
    </row>
    <row r="293" spans="22:81" x14ac:dyDescent="0.25">
      <c r="V293" s="5"/>
      <c r="W293" s="5"/>
      <c r="X293" s="5"/>
      <c r="Y293" s="5"/>
      <c r="BY293" s="5"/>
      <c r="BZ293" s="5"/>
      <c r="CA293" s="5"/>
      <c r="CB293" s="5"/>
      <c r="CC293" s="5"/>
    </row>
    <row r="294" spans="22:81" x14ac:dyDescent="0.25">
      <c r="V294" s="5"/>
      <c r="W294" s="5"/>
      <c r="X294" s="5"/>
      <c r="Y294" s="5"/>
      <c r="BY294" s="5"/>
      <c r="BZ294" s="5"/>
      <c r="CA294" s="5"/>
      <c r="CB294" s="5"/>
      <c r="CC294" s="5"/>
    </row>
    <row r="295" spans="22:81" x14ac:dyDescent="0.25">
      <c r="V295" s="5"/>
      <c r="W295" s="5"/>
      <c r="X295" s="5"/>
      <c r="Y295" s="5"/>
      <c r="BY295" s="5"/>
      <c r="BZ295" s="5"/>
      <c r="CA295" s="5"/>
      <c r="CB295" s="5"/>
      <c r="CC295" s="5"/>
    </row>
    <row r="296" spans="22:81" x14ac:dyDescent="0.25">
      <c r="V296" s="5"/>
      <c r="W296" s="5"/>
      <c r="X296" s="5"/>
      <c r="Y296" s="5"/>
      <c r="BY296" s="5"/>
      <c r="BZ296" s="5"/>
      <c r="CA296" s="5"/>
      <c r="CB296" s="5"/>
      <c r="CC296" s="5"/>
    </row>
    <row r="297" spans="22:81" x14ac:dyDescent="0.25">
      <c r="V297" s="5"/>
      <c r="W297" s="5"/>
      <c r="X297" s="5"/>
      <c r="Y297" s="5"/>
      <c r="BY297" s="5"/>
      <c r="BZ297" s="5"/>
      <c r="CA297" s="5"/>
      <c r="CB297" s="5"/>
      <c r="CC297" s="5"/>
    </row>
    <row r="298" spans="22:81" x14ac:dyDescent="0.25">
      <c r="V298" s="5"/>
      <c r="W298" s="5"/>
      <c r="X298" s="5"/>
      <c r="Y298" s="5"/>
      <c r="BY298" s="5"/>
      <c r="BZ298" s="5"/>
      <c r="CA298" s="5"/>
      <c r="CB298" s="5"/>
      <c r="CC298" s="5"/>
    </row>
    <row r="299" spans="22:81" x14ac:dyDescent="0.25">
      <c r="V299" s="5"/>
      <c r="W299" s="5"/>
      <c r="X299" s="5"/>
      <c r="Y299" s="5"/>
      <c r="BY299" s="5"/>
      <c r="BZ299" s="5"/>
      <c r="CA299" s="5"/>
      <c r="CB299" s="5"/>
      <c r="CC299" s="5"/>
    </row>
    <row r="300" spans="22:81" x14ac:dyDescent="0.25">
      <c r="V300" s="5"/>
      <c r="W300" s="5"/>
      <c r="X300" s="5"/>
      <c r="Y300" s="5"/>
      <c r="BY300" s="5"/>
      <c r="BZ300" s="5"/>
      <c r="CA300" s="5"/>
      <c r="CB300" s="5"/>
      <c r="CC300" s="5"/>
    </row>
    <row r="301" spans="22:81" x14ac:dyDescent="0.25">
      <c r="V301" s="5"/>
      <c r="W301" s="5"/>
      <c r="X301" s="5"/>
      <c r="Y301" s="5"/>
      <c r="BY301" s="5"/>
      <c r="BZ301" s="5"/>
      <c r="CA301" s="5"/>
      <c r="CB301" s="5"/>
      <c r="CC301" s="5"/>
    </row>
    <row r="302" spans="22:81" x14ac:dyDescent="0.25">
      <c r="V302" s="5"/>
      <c r="W302" s="5"/>
      <c r="X302" s="5"/>
      <c r="Y302" s="5"/>
      <c r="BY302" s="5"/>
      <c r="BZ302" s="5"/>
      <c r="CA302" s="5"/>
      <c r="CB302" s="5"/>
      <c r="CC302" s="5"/>
    </row>
    <row r="303" spans="22:81" x14ac:dyDescent="0.25">
      <c r="V303" s="5"/>
      <c r="W303" s="5"/>
      <c r="X303" s="5"/>
      <c r="Y303" s="5"/>
      <c r="BY303" s="5"/>
      <c r="BZ303" s="5"/>
      <c r="CA303" s="5"/>
      <c r="CB303" s="5"/>
      <c r="CC303" s="5"/>
    </row>
    <row r="304" spans="22:81" x14ac:dyDescent="0.25">
      <c r="V304" s="5"/>
      <c r="W304" s="5"/>
      <c r="X304" s="5"/>
      <c r="Y304" s="5"/>
      <c r="BY304" s="5"/>
      <c r="BZ304" s="5"/>
      <c r="CA304" s="5"/>
      <c r="CB304" s="5"/>
      <c r="CC304" s="5"/>
    </row>
    <row r="305" spans="22:81" x14ac:dyDescent="0.25">
      <c r="V305" s="5"/>
      <c r="W305" s="5"/>
      <c r="X305" s="5"/>
      <c r="Y305" s="5"/>
      <c r="BY305" s="5"/>
      <c r="BZ305" s="5"/>
      <c r="CA305" s="5"/>
      <c r="CB305" s="5"/>
      <c r="CC305" s="5"/>
    </row>
    <row r="306" spans="22:81" x14ac:dyDescent="0.25">
      <c r="V306" s="5"/>
      <c r="W306" s="5"/>
      <c r="X306" s="5"/>
      <c r="Y306" s="5"/>
      <c r="BY306" s="5"/>
      <c r="BZ306" s="5"/>
      <c r="CA306" s="5"/>
      <c r="CB306" s="5"/>
      <c r="CC306" s="5"/>
    </row>
    <row r="307" spans="22:81" x14ac:dyDescent="0.25">
      <c r="V307" s="5"/>
      <c r="W307" s="5"/>
      <c r="X307" s="5"/>
      <c r="Y307" s="5"/>
      <c r="BY307" s="5"/>
      <c r="BZ307" s="5"/>
      <c r="CA307" s="5"/>
      <c r="CB307" s="5"/>
      <c r="CC307" s="5"/>
    </row>
    <row r="308" spans="22:81" x14ac:dyDescent="0.25">
      <c r="V308" s="5"/>
      <c r="W308" s="5"/>
      <c r="X308" s="5"/>
      <c r="Y308" s="5"/>
      <c r="BY308" s="5"/>
      <c r="BZ308" s="5"/>
      <c r="CA308" s="5"/>
      <c r="CB308" s="5"/>
      <c r="CC308" s="5"/>
    </row>
    <row r="309" spans="22:81" x14ac:dyDescent="0.25">
      <c r="V309" s="5"/>
      <c r="W309" s="5"/>
      <c r="X309" s="5"/>
      <c r="Y309" s="5"/>
      <c r="BY309" s="5"/>
      <c r="BZ309" s="5"/>
      <c r="CA309" s="5"/>
      <c r="CB309" s="5"/>
      <c r="CC309" s="5"/>
    </row>
    <row r="310" spans="22:81" x14ac:dyDescent="0.25">
      <c r="V310" s="5"/>
      <c r="W310" s="5"/>
      <c r="X310" s="5"/>
      <c r="Y310" s="5"/>
      <c r="BY310" s="5"/>
      <c r="BZ310" s="5"/>
      <c r="CA310" s="5"/>
      <c r="CB310" s="5"/>
      <c r="CC310" s="5"/>
    </row>
    <row r="311" spans="22:81" x14ac:dyDescent="0.25">
      <c r="V311" s="5"/>
      <c r="W311" s="5"/>
      <c r="X311" s="5"/>
      <c r="Y311" s="5"/>
      <c r="BY311" s="5"/>
      <c r="BZ311" s="5"/>
      <c r="CA311" s="5"/>
      <c r="CB311" s="5"/>
      <c r="CC311" s="5"/>
    </row>
    <row r="312" spans="22:81" x14ac:dyDescent="0.25">
      <c r="V312" s="5"/>
      <c r="W312" s="5"/>
      <c r="X312" s="5"/>
      <c r="Y312" s="5"/>
      <c r="BY312" s="5"/>
      <c r="BZ312" s="5"/>
      <c r="CA312" s="5"/>
      <c r="CB312" s="5"/>
      <c r="CC312" s="5"/>
    </row>
    <row r="313" spans="22:81" x14ac:dyDescent="0.25">
      <c r="V313" s="5"/>
      <c r="W313" s="5"/>
      <c r="X313" s="5"/>
      <c r="Y313" s="5"/>
      <c r="BY313" s="5"/>
      <c r="BZ313" s="5"/>
      <c r="CA313" s="5"/>
      <c r="CB313" s="5"/>
      <c r="CC313" s="5"/>
    </row>
    <row r="314" spans="22:81" x14ac:dyDescent="0.25">
      <c r="V314" s="5"/>
      <c r="W314" s="5"/>
      <c r="X314" s="5"/>
      <c r="Y314" s="5"/>
      <c r="BY314" s="5"/>
      <c r="BZ314" s="5"/>
      <c r="CA314" s="5"/>
      <c r="CB314" s="5"/>
      <c r="CC314" s="5"/>
    </row>
    <row r="315" spans="22:81" x14ac:dyDescent="0.25">
      <c r="V315" s="5"/>
      <c r="W315" s="5"/>
      <c r="X315" s="5"/>
      <c r="Y315" s="5"/>
      <c r="BY315" s="5"/>
      <c r="BZ315" s="5"/>
      <c r="CA315" s="5"/>
      <c r="CB315" s="5"/>
      <c r="CC315" s="5"/>
    </row>
    <row r="316" spans="22:81" x14ac:dyDescent="0.25">
      <c r="V316" s="5"/>
      <c r="W316" s="5"/>
      <c r="X316" s="5"/>
      <c r="Y316" s="5"/>
      <c r="BY316" s="5"/>
      <c r="BZ316" s="5"/>
      <c r="CA316" s="5"/>
      <c r="CB316" s="5"/>
      <c r="CC316" s="5"/>
    </row>
    <row r="317" spans="22:81" x14ac:dyDescent="0.25">
      <c r="V317" s="5"/>
      <c r="W317" s="5"/>
      <c r="X317" s="5"/>
      <c r="Y317" s="5"/>
      <c r="BY317" s="5"/>
      <c r="BZ317" s="5"/>
      <c r="CA317" s="5"/>
      <c r="CB317" s="5"/>
      <c r="CC317" s="5"/>
    </row>
    <row r="318" spans="22:81" x14ac:dyDescent="0.25">
      <c r="V318" s="5"/>
      <c r="W318" s="5"/>
      <c r="X318" s="5"/>
      <c r="Y318" s="5"/>
      <c r="BY318" s="5"/>
      <c r="BZ318" s="5"/>
      <c r="CA318" s="5"/>
      <c r="CB318" s="5"/>
      <c r="CC318" s="5"/>
    </row>
    <row r="319" spans="22:81" x14ac:dyDescent="0.25">
      <c r="V319" s="5"/>
      <c r="W319" s="5"/>
      <c r="X319" s="5"/>
      <c r="Y319" s="5"/>
      <c r="BY319" s="5"/>
      <c r="BZ319" s="5"/>
      <c r="CA319" s="5"/>
      <c r="CB319" s="5"/>
      <c r="CC319" s="5"/>
    </row>
    <row r="320" spans="22:81" x14ac:dyDescent="0.25">
      <c r="V320" s="5"/>
      <c r="W320" s="5"/>
      <c r="X320" s="5"/>
      <c r="Y320" s="5"/>
      <c r="BY320" s="5"/>
      <c r="BZ320" s="5"/>
      <c r="CA320" s="5"/>
      <c r="CB320" s="5"/>
      <c r="CC320" s="5"/>
    </row>
    <row r="321" spans="22:81" x14ac:dyDescent="0.25">
      <c r="V321" s="5"/>
      <c r="W321" s="5"/>
      <c r="X321" s="5"/>
      <c r="Y321" s="5"/>
      <c r="BY321" s="5"/>
      <c r="BZ321" s="5"/>
      <c r="CA321" s="5"/>
      <c r="CB321" s="5"/>
      <c r="CC321" s="5"/>
    </row>
    <row r="322" spans="22:81" x14ac:dyDescent="0.25">
      <c r="V322" s="5"/>
      <c r="W322" s="5"/>
      <c r="X322" s="5"/>
      <c r="Y322" s="5"/>
      <c r="BY322" s="5"/>
      <c r="BZ322" s="5"/>
      <c r="CA322" s="5"/>
      <c r="CB322" s="5"/>
      <c r="CC322" s="5"/>
    </row>
    <row r="323" spans="22:81" x14ac:dyDescent="0.25">
      <c r="V323" s="5"/>
      <c r="W323" s="5"/>
      <c r="X323" s="5"/>
      <c r="Y323" s="5"/>
      <c r="BY323" s="5"/>
      <c r="BZ323" s="5"/>
      <c r="CA323" s="5"/>
      <c r="CB323" s="5"/>
      <c r="CC323" s="5"/>
    </row>
    <row r="324" spans="22:81" x14ac:dyDescent="0.25">
      <c r="V324" s="5"/>
      <c r="W324" s="5"/>
      <c r="X324" s="5"/>
      <c r="Y324" s="5"/>
      <c r="BY324" s="5"/>
      <c r="BZ324" s="5"/>
      <c r="CA324" s="5"/>
      <c r="CB324" s="5"/>
      <c r="CC324" s="5"/>
    </row>
    <row r="325" spans="22:81" x14ac:dyDescent="0.25">
      <c r="V325" s="5"/>
      <c r="W325" s="5"/>
      <c r="X325" s="5"/>
      <c r="Y325" s="5"/>
      <c r="BY325" s="5"/>
      <c r="BZ325" s="5"/>
      <c r="CA325" s="5"/>
      <c r="CB325" s="5"/>
      <c r="CC325" s="5"/>
    </row>
    <row r="326" spans="22:81" x14ac:dyDescent="0.25">
      <c r="V326" s="5"/>
      <c r="W326" s="5"/>
      <c r="X326" s="5"/>
      <c r="Y326" s="5"/>
      <c r="BY326" s="5"/>
      <c r="BZ326" s="5"/>
      <c r="CA326" s="5"/>
      <c r="CB326" s="5"/>
      <c r="CC326" s="5"/>
    </row>
    <row r="327" spans="22:81" x14ac:dyDescent="0.25">
      <c r="V327" s="5"/>
      <c r="W327" s="5"/>
      <c r="X327" s="5"/>
      <c r="Y327" s="5"/>
      <c r="BY327" s="5"/>
      <c r="BZ327" s="5"/>
      <c r="CA327" s="5"/>
      <c r="CB327" s="5"/>
      <c r="CC327" s="5"/>
    </row>
    <row r="328" spans="22:81" x14ac:dyDescent="0.25">
      <c r="V328" s="5"/>
      <c r="W328" s="5"/>
      <c r="X328" s="5"/>
      <c r="Y328" s="5"/>
      <c r="BY328" s="5"/>
      <c r="BZ328" s="5"/>
      <c r="CA328" s="5"/>
      <c r="CB328" s="5"/>
      <c r="CC328" s="5"/>
    </row>
    <row r="329" spans="22:81" x14ac:dyDescent="0.25">
      <c r="V329" s="5"/>
      <c r="W329" s="5"/>
      <c r="X329" s="5"/>
      <c r="Y329" s="5"/>
      <c r="BY329" s="5"/>
      <c r="BZ329" s="5"/>
      <c r="CA329" s="5"/>
      <c r="CB329" s="5"/>
      <c r="CC329" s="5"/>
    </row>
    <row r="330" spans="22:81" x14ac:dyDescent="0.25">
      <c r="V330" s="5"/>
      <c r="W330" s="5"/>
      <c r="X330" s="5"/>
      <c r="Y330" s="5"/>
      <c r="BY330" s="5"/>
      <c r="BZ330" s="5"/>
      <c r="CA330" s="5"/>
      <c r="CB330" s="5"/>
      <c r="CC330" s="5"/>
    </row>
    <row r="331" spans="22:81" x14ac:dyDescent="0.25">
      <c r="V331" s="5"/>
      <c r="W331" s="5"/>
      <c r="X331" s="5"/>
      <c r="Y331" s="5"/>
      <c r="BY331" s="5"/>
      <c r="BZ331" s="5"/>
      <c r="CA331" s="5"/>
      <c r="CB331" s="5"/>
      <c r="CC331" s="5"/>
    </row>
    <row r="332" spans="22:81" x14ac:dyDescent="0.25">
      <c r="V332" s="5"/>
      <c r="W332" s="5"/>
      <c r="X332" s="5"/>
      <c r="Y332" s="5"/>
      <c r="BY332" s="5"/>
      <c r="BZ332" s="5"/>
      <c r="CA332" s="5"/>
      <c r="CB332" s="5"/>
      <c r="CC332" s="5"/>
    </row>
    <row r="333" spans="22:81" x14ac:dyDescent="0.25">
      <c r="V333" s="5"/>
      <c r="W333" s="5"/>
      <c r="X333" s="5"/>
      <c r="Y333" s="5"/>
      <c r="BY333" s="5"/>
      <c r="BZ333" s="5"/>
      <c r="CA333" s="5"/>
      <c r="CB333" s="5"/>
      <c r="CC333" s="5"/>
    </row>
    <row r="334" spans="22:81" x14ac:dyDescent="0.25">
      <c r="V334" s="5"/>
      <c r="W334" s="5"/>
      <c r="X334" s="5"/>
      <c r="Y334" s="5"/>
      <c r="BY334" s="5"/>
      <c r="BZ334" s="5"/>
      <c r="CA334" s="5"/>
      <c r="CB334" s="5"/>
      <c r="CC334" s="5"/>
    </row>
    <row r="335" spans="22:81" x14ac:dyDescent="0.25">
      <c r="V335" s="5"/>
      <c r="W335" s="5"/>
      <c r="X335" s="5"/>
      <c r="Y335" s="5"/>
      <c r="BY335" s="5"/>
      <c r="BZ335" s="5"/>
      <c r="CA335" s="5"/>
      <c r="CB335" s="5"/>
      <c r="CC335" s="5"/>
    </row>
    <row r="336" spans="22:81" x14ac:dyDescent="0.25">
      <c r="V336" s="5"/>
      <c r="W336" s="5"/>
      <c r="X336" s="5"/>
      <c r="Y336" s="5"/>
      <c r="BY336" s="5"/>
      <c r="BZ336" s="5"/>
      <c r="CA336" s="5"/>
      <c r="CB336" s="5"/>
      <c r="CC336" s="5"/>
    </row>
    <row r="337" spans="22:81" x14ac:dyDescent="0.25">
      <c r="V337" s="5"/>
      <c r="W337" s="5"/>
      <c r="X337" s="5"/>
      <c r="Y337" s="5"/>
      <c r="BY337" s="5"/>
      <c r="BZ337" s="5"/>
      <c r="CA337" s="5"/>
      <c r="CB337" s="5"/>
      <c r="CC337" s="5"/>
    </row>
    <row r="338" spans="22:81" x14ac:dyDescent="0.25">
      <c r="V338" s="5"/>
      <c r="W338" s="5"/>
      <c r="X338" s="5"/>
      <c r="Y338" s="5"/>
      <c r="BY338" s="5"/>
      <c r="BZ338" s="5"/>
      <c r="CA338" s="5"/>
      <c r="CB338" s="5"/>
      <c r="CC338" s="5"/>
    </row>
    <row r="339" spans="22:81" x14ac:dyDescent="0.25">
      <c r="V339" s="5"/>
      <c r="W339" s="5"/>
      <c r="X339" s="5"/>
      <c r="Y339" s="5"/>
      <c r="BY339" s="5"/>
      <c r="BZ339" s="5"/>
      <c r="CA339" s="5"/>
      <c r="CB339" s="5"/>
      <c r="CC339" s="5"/>
    </row>
    <row r="340" spans="22:81" x14ac:dyDescent="0.25">
      <c r="V340" s="5"/>
      <c r="W340" s="5"/>
      <c r="X340" s="5"/>
      <c r="Y340" s="5"/>
      <c r="BY340" s="5"/>
      <c r="BZ340" s="5"/>
      <c r="CA340" s="5"/>
      <c r="CB340" s="5"/>
      <c r="CC340" s="5"/>
    </row>
    <row r="341" spans="22:81" x14ac:dyDescent="0.25">
      <c r="V341" s="5"/>
      <c r="W341" s="5"/>
      <c r="X341" s="5"/>
      <c r="Y341" s="5"/>
      <c r="BY341" s="5"/>
      <c r="BZ341" s="5"/>
      <c r="CA341" s="5"/>
      <c r="CB341" s="5"/>
      <c r="CC341" s="5"/>
    </row>
    <row r="342" spans="22:81" x14ac:dyDescent="0.25">
      <c r="V342" s="5"/>
      <c r="W342" s="5"/>
      <c r="X342" s="5"/>
      <c r="Y342" s="5"/>
      <c r="BY342" s="5"/>
      <c r="BZ342" s="5"/>
      <c r="CA342" s="5"/>
      <c r="CB342" s="5"/>
      <c r="CC342" s="5"/>
    </row>
    <row r="343" spans="22:81" x14ac:dyDescent="0.25">
      <c r="V343" s="5"/>
      <c r="W343" s="5"/>
      <c r="X343" s="5"/>
      <c r="Y343" s="5"/>
      <c r="BY343" s="5"/>
      <c r="BZ343" s="5"/>
      <c r="CA343" s="5"/>
      <c r="CB343" s="5"/>
      <c r="CC343" s="5"/>
    </row>
    <row r="344" spans="22:81" x14ac:dyDescent="0.25">
      <c r="V344" s="5"/>
      <c r="W344" s="5"/>
      <c r="X344" s="5"/>
      <c r="Y344" s="5"/>
      <c r="BY344" s="5"/>
      <c r="BZ344" s="5"/>
      <c r="CA344" s="5"/>
      <c r="CB344" s="5"/>
      <c r="CC344" s="5"/>
    </row>
    <row r="345" spans="22:81" x14ac:dyDescent="0.25">
      <c r="V345" s="5"/>
      <c r="W345" s="5"/>
      <c r="X345" s="5"/>
      <c r="Y345" s="5"/>
      <c r="BY345" s="5"/>
      <c r="BZ345" s="5"/>
      <c r="CA345" s="5"/>
      <c r="CB345" s="5"/>
      <c r="CC345" s="5"/>
    </row>
    <row r="346" spans="22:81" x14ac:dyDescent="0.25">
      <c r="V346" s="5"/>
      <c r="W346" s="5"/>
      <c r="X346" s="5"/>
      <c r="Y346" s="5"/>
      <c r="BY346" s="5"/>
      <c r="BZ346" s="5"/>
      <c r="CA346" s="5"/>
      <c r="CB346" s="5"/>
      <c r="CC346" s="5"/>
    </row>
    <row r="347" spans="22:81" x14ac:dyDescent="0.25">
      <c r="V347" s="5"/>
      <c r="W347" s="5"/>
      <c r="X347" s="5"/>
      <c r="Y347" s="5"/>
      <c r="BY347" s="5"/>
      <c r="BZ347" s="5"/>
      <c r="CA347" s="5"/>
      <c r="CB347" s="5"/>
      <c r="CC347" s="5"/>
    </row>
    <row r="348" spans="22:81" x14ac:dyDescent="0.25">
      <c r="V348" s="5"/>
      <c r="W348" s="5"/>
      <c r="X348" s="5"/>
      <c r="Y348" s="5"/>
      <c r="BY348" s="5"/>
      <c r="BZ348" s="5"/>
      <c r="CA348" s="5"/>
      <c r="CB348" s="5"/>
      <c r="CC348" s="5"/>
    </row>
    <row r="349" spans="22:81" x14ac:dyDescent="0.25">
      <c r="V349" s="5"/>
      <c r="W349" s="5"/>
      <c r="X349" s="5"/>
      <c r="Y349" s="5"/>
      <c r="BY349" s="5"/>
      <c r="BZ349" s="5"/>
      <c r="CA349" s="5"/>
      <c r="CB349" s="5"/>
      <c r="CC349" s="5"/>
    </row>
    <row r="350" spans="22:81" x14ac:dyDescent="0.25">
      <c r="V350" s="5"/>
      <c r="W350" s="5"/>
      <c r="X350" s="5"/>
      <c r="Y350" s="5"/>
      <c r="BY350" s="5"/>
      <c r="BZ350" s="5"/>
      <c r="CA350" s="5"/>
      <c r="CB350" s="5"/>
      <c r="CC350" s="5"/>
    </row>
    <row r="351" spans="22:81" x14ac:dyDescent="0.25">
      <c r="V351" s="5"/>
      <c r="W351" s="5"/>
      <c r="X351" s="5"/>
      <c r="Y351" s="5"/>
      <c r="BY351" s="5"/>
      <c r="BZ351" s="5"/>
      <c r="CA351" s="5"/>
      <c r="CB351" s="5"/>
      <c r="CC351" s="5"/>
    </row>
    <row r="352" spans="22:81" x14ac:dyDescent="0.25">
      <c r="V352" s="5"/>
      <c r="W352" s="5"/>
      <c r="X352" s="5"/>
      <c r="Y352" s="5"/>
      <c r="BY352" s="5"/>
      <c r="BZ352" s="5"/>
      <c r="CA352" s="5"/>
      <c r="CB352" s="5"/>
      <c r="CC352" s="5"/>
    </row>
    <row r="353" spans="22:81" x14ac:dyDescent="0.25">
      <c r="V353" s="5"/>
      <c r="W353" s="5"/>
      <c r="X353" s="5"/>
      <c r="Y353" s="5"/>
      <c r="BY353" s="5"/>
      <c r="BZ353" s="5"/>
      <c r="CA353" s="5"/>
      <c r="CB353" s="5"/>
      <c r="CC353" s="5"/>
    </row>
    <row r="354" spans="22:81" x14ac:dyDescent="0.25">
      <c r="V354" s="5"/>
      <c r="W354" s="5"/>
      <c r="X354" s="5"/>
      <c r="Y354" s="5"/>
      <c r="BY354" s="5"/>
      <c r="BZ354" s="5"/>
      <c r="CA354" s="5"/>
      <c r="CB354" s="5"/>
      <c r="CC354" s="5"/>
    </row>
    <row r="355" spans="22:81" x14ac:dyDescent="0.25">
      <c r="V355" s="5"/>
      <c r="W355" s="5"/>
      <c r="X355" s="5"/>
      <c r="Y355" s="5"/>
      <c r="BY355" s="5"/>
      <c r="BZ355" s="5"/>
      <c r="CA355" s="5"/>
      <c r="CB355" s="5"/>
      <c r="CC355" s="5"/>
    </row>
    <row r="356" spans="22:81" x14ac:dyDescent="0.25">
      <c r="V356" s="5"/>
      <c r="W356" s="5"/>
      <c r="X356" s="5"/>
      <c r="Y356" s="5"/>
      <c r="BY356" s="5"/>
      <c r="BZ356" s="5"/>
      <c r="CA356" s="5"/>
      <c r="CB356" s="5"/>
      <c r="CC356" s="5"/>
    </row>
    <row r="357" spans="22:81" x14ac:dyDescent="0.25">
      <c r="V357" s="5"/>
      <c r="W357" s="5"/>
      <c r="X357" s="5"/>
      <c r="Y357" s="5"/>
      <c r="BY357" s="5"/>
      <c r="BZ357" s="5"/>
      <c r="CA357" s="5"/>
      <c r="CB357" s="5"/>
      <c r="CC357" s="5"/>
    </row>
    <row r="358" spans="22:81" x14ac:dyDescent="0.25">
      <c r="V358" s="5"/>
      <c r="W358" s="5"/>
      <c r="X358" s="5"/>
      <c r="Y358" s="5"/>
      <c r="BY358" s="5"/>
      <c r="BZ358" s="5"/>
      <c r="CA358" s="5"/>
      <c r="CB358" s="5"/>
      <c r="CC358" s="5"/>
    </row>
    <row r="359" spans="22:81" x14ac:dyDescent="0.25">
      <c r="V359" s="5"/>
      <c r="W359" s="5"/>
      <c r="X359" s="5"/>
      <c r="Y359" s="5"/>
      <c r="BY359" s="5"/>
      <c r="BZ359" s="5"/>
      <c r="CA359" s="5"/>
      <c r="CB359" s="5"/>
      <c r="CC359" s="5"/>
    </row>
    <row r="360" spans="22:81" x14ac:dyDescent="0.25">
      <c r="V360" s="5"/>
      <c r="W360" s="5"/>
      <c r="X360" s="5"/>
      <c r="Y360" s="5"/>
      <c r="BY360" s="5"/>
      <c r="BZ360" s="5"/>
      <c r="CA360" s="5"/>
      <c r="CB360" s="5"/>
      <c r="CC360" s="5"/>
    </row>
    <row r="361" spans="22:81" x14ac:dyDescent="0.25">
      <c r="V361" s="5"/>
      <c r="W361" s="5"/>
      <c r="X361" s="5"/>
      <c r="Y361" s="5"/>
      <c r="BY361" s="5"/>
      <c r="BZ361" s="5"/>
      <c r="CA361" s="5"/>
      <c r="CB361" s="5"/>
      <c r="CC361" s="5"/>
    </row>
    <row r="362" spans="22:81" x14ac:dyDescent="0.25">
      <c r="V362" s="5"/>
      <c r="W362" s="5"/>
      <c r="X362" s="5"/>
      <c r="Y362" s="5"/>
      <c r="BY362" s="5"/>
      <c r="BZ362" s="5"/>
      <c r="CA362" s="5"/>
      <c r="CB362" s="5"/>
      <c r="CC362" s="5"/>
    </row>
    <row r="363" spans="22:81" x14ac:dyDescent="0.25">
      <c r="V363" s="5"/>
      <c r="W363" s="5"/>
      <c r="X363" s="5"/>
      <c r="Y363" s="5"/>
      <c r="BY363" s="5"/>
      <c r="BZ363" s="5"/>
      <c r="CA363" s="5"/>
      <c r="CB363" s="5"/>
      <c r="CC363" s="5"/>
    </row>
    <row r="364" spans="22:81" x14ac:dyDescent="0.25">
      <c r="V364" s="5"/>
      <c r="W364" s="5"/>
      <c r="X364" s="5"/>
      <c r="Y364" s="5"/>
      <c r="BY364" s="5"/>
      <c r="BZ364" s="5"/>
      <c r="CA364" s="5"/>
      <c r="CB364" s="5"/>
      <c r="CC364" s="5"/>
    </row>
    <row r="365" spans="22:81" x14ac:dyDescent="0.25">
      <c r="V365" s="5"/>
      <c r="W365" s="5"/>
      <c r="X365" s="5"/>
      <c r="Y365" s="5"/>
      <c r="BY365" s="5"/>
      <c r="BZ365" s="5"/>
      <c r="CA365" s="5"/>
      <c r="CB365" s="5"/>
      <c r="CC365" s="5"/>
    </row>
    <row r="366" spans="22:81" x14ac:dyDescent="0.25">
      <c r="V366" s="5"/>
      <c r="W366" s="5"/>
      <c r="X366" s="5"/>
      <c r="Y366" s="5"/>
      <c r="BY366" s="5"/>
      <c r="BZ366" s="5"/>
      <c r="CA366" s="5"/>
      <c r="CB366" s="5"/>
      <c r="CC366" s="5"/>
    </row>
    <row r="367" spans="22:81" x14ac:dyDescent="0.25">
      <c r="V367" s="5"/>
      <c r="W367" s="5"/>
      <c r="X367" s="5"/>
      <c r="Y367" s="5"/>
      <c r="BY367" s="5"/>
      <c r="BZ367" s="5"/>
      <c r="CA367" s="5"/>
      <c r="CB367" s="5"/>
      <c r="CC367" s="5"/>
    </row>
    <row r="368" spans="22:81" x14ac:dyDescent="0.25">
      <c r="V368" s="5"/>
      <c r="W368" s="5"/>
      <c r="X368" s="5"/>
      <c r="Y368" s="5"/>
      <c r="BY368" s="5"/>
      <c r="BZ368" s="5"/>
      <c r="CA368" s="5"/>
      <c r="CB368" s="5"/>
      <c r="CC368" s="5"/>
    </row>
    <row r="369" spans="22:81" x14ac:dyDescent="0.25">
      <c r="V369" s="5"/>
      <c r="W369" s="5"/>
      <c r="X369" s="5"/>
      <c r="Y369" s="5"/>
      <c r="BY369" s="5"/>
      <c r="BZ369" s="5"/>
      <c r="CA369" s="5"/>
      <c r="CB369" s="5"/>
      <c r="CC369" s="5"/>
    </row>
    <row r="370" spans="22:81" x14ac:dyDescent="0.25">
      <c r="V370" s="5"/>
      <c r="W370" s="5"/>
      <c r="X370" s="5"/>
      <c r="Y370" s="5"/>
      <c r="BY370" s="5"/>
      <c r="BZ370" s="5"/>
      <c r="CA370" s="5"/>
      <c r="CB370" s="5"/>
      <c r="CC370" s="5"/>
    </row>
    <row r="371" spans="22:81" x14ac:dyDescent="0.25">
      <c r="V371" s="5"/>
      <c r="W371" s="5"/>
      <c r="X371" s="5"/>
      <c r="Y371" s="5"/>
      <c r="BY371" s="5"/>
      <c r="BZ371" s="5"/>
      <c r="CA371" s="5"/>
      <c r="CB371" s="5"/>
      <c r="CC371" s="5"/>
    </row>
    <row r="372" spans="22:81" x14ac:dyDescent="0.25">
      <c r="V372" s="5"/>
      <c r="W372" s="5"/>
      <c r="X372" s="5"/>
      <c r="Y372" s="5"/>
      <c r="BY372" s="5"/>
      <c r="BZ372" s="5"/>
      <c r="CA372" s="5"/>
      <c r="CB372" s="5"/>
      <c r="CC372" s="5"/>
    </row>
    <row r="373" spans="22:81" x14ac:dyDescent="0.25">
      <c r="V373" s="5"/>
      <c r="W373" s="5"/>
      <c r="X373" s="5"/>
      <c r="Y373" s="5"/>
      <c r="BY373" s="5"/>
      <c r="BZ373" s="5"/>
      <c r="CA373" s="5"/>
      <c r="CB373" s="5"/>
      <c r="CC373" s="5"/>
    </row>
    <row r="374" spans="22:81" x14ac:dyDescent="0.25">
      <c r="V374" s="5"/>
      <c r="W374" s="5"/>
      <c r="X374" s="5"/>
      <c r="Y374" s="5"/>
      <c r="BY374" s="5"/>
      <c r="BZ374" s="5"/>
      <c r="CA374" s="5"/>
      <c r="CB374" s="5"/>
      <c r="CC374" s="5"/>
    </row>
    <row r="375" spans="22:81" x14ac:dyDescent="0.25">
      <c r="V375" s="5"/>
      <c r="W375" s="5"/>
      <c r="X375" s="5"/>
      <c r="Y375" s="5"/>
      <c r="BY375" s="5"/>
      <c r="BZ375" s="5"/>
      <c r="CA375" s="5"/>
      <c r="CB375" s="5"/>
      <c r="CC375" s="5"/>
    </row>
    <row r="376" spans="22:81" x14ac:dyDescent="0.25">
      <c r="V376" s="5"/>
      <c r="W376" s="5"/>
      <c r="X376" s="5"/>
      <c r="Y376" s="5"/>
      <c r="BY376" s="5"/>
      <c r="BZ376" s="5"/>
      <c r="CA376" s="5"/>
      <c r="CB376" s="5"/>
      <c r="CC376" s="5"/>
    </row>
    <row r="377" spans="22:81" x14ac:dyDescent="0.25">
      <c r="V377" s="5"/>
      <c r="W377" s="5"/>
      <c r="X377" s="5"/>
      <c r="Y377" s="5"/>
      <c r="BY377" s="5"/>
      <c r="BZ377" s="5"/>
      <c r="CA377" s="5"/>
      <c r="CB377" s="5"/>
      <c r="CC377" s="5"/>
    </row>
    <row r="378" spans="22:81" x14ac:dyDescent="0.25">
      <c r="V378" s="5"/>
      <c r="W378" s="5"/>
      <c r="X378" s="5"/>
      <c r="Y378" s="5"/>
      <c r="BY378" s="5"/>
      <c r="BZ378" s="5"/>
      <c r="CA378" s="5"/>
      <c r="CB378" s="5"/>
      <c r="CC378" s="5"/>
    </row>
    <row r="379" spans="22:81" x14ac:dyDescent="0.25">
      <c r="V379" s="5"/>
      <c r="W379" s="5"/>
      <c r="X379" s="5"/>
      <c r="Y379" s="5"/>
      <c r="BY379" s="5"/>
      <c r="BZ379" s="5"/>
      <c r="CA379" s="5"/>
      <c r="CB379" s="5"/>
      <c r="CC379" s="5"/>
    </row>
    <row r="380" spans="22:81" x14ac:dyDescent="0.25">
      <c r="V380" s="5"/>
      <c r="W380" s="5"/>
      <c r="X380" s="5"/>
      <c r="Y380" s="5"/>
      <c r="BY380" s="5"/>
      <c r="BZ380" s="5"/>
      <c r="CA380" s="5"/>
      <c r="CB380" s="5"/>
      <c r="CC380" s="5"/>
    </row>
    <row r="381" spans="22:81" x14ac:dyDescent="0.25">
      <c r="V381" s="5"/>
      <c r="W381" s="5"/>
      <c r="X381" s="5"/>
      <c r="Y381" s="5"/>
      <c r="BY381" s="5"/>
      <c r="BZ381" s="5"/>
      <c r="CA381" s="5"/>
      <c r="CB381" s="5"/>
      <c r="CC381" s="5"/>
    </row>
    <row r="382" spans="22:81" x14ac:dyDescent="0.25">
      <c r="V382" s="5"/>
      <c r="W382" s="5"/>
      <c r="X382" s="5"/>
      <c r="Y382" s="5"/>
      <c r="BY382" s="5"/>
      <c r="BZ382" s="5"/>
      <c r="CA382" s="5"/>
      <c r="CB382" s="5"/>
      <c r="CC382" s="5"/>
    </row>
    <row r="383" spans="22:81" x14ac:dyDescent="0.25">
      <c r="V383" s="5"/>
      <c r="W383" s="5"/>
      <c r="X383" s="5"/>
      <c r="Y383" s="5"/>
      <c r="BY383" s="5"/>
      <c r="BZ383" s="5"/>
      <c r="CA383" s="5"/>
      <c r="CB383" s="5"/>
      <c r="CC383" s="5"/>
    </row>
    <row r="384" spans="22:81" x14ac:dyDescent="0.25">
      <c r="V384" s="5"/>
      <c r="W384" s="5"/>
      <c r="X384" s="5"/>
      <c r="Y384" s="5"/>
      <c r="BY384" s="5"/>
      <c r="BZ384" s="5"/>
      <c r="CA384" s="5"/>
      <c r="CB384" s="5"/>
      <c r="CC384" s="5"/>
    </row>
    <row r="385" spans="22:81" x14ac:dyDescent="0.25">
      <c r="V385" s="5"/>
      <c r="W385" s="5"/>
      <c r="X385" s="5"/>
      <c r="Y385" s="5"/>
      <c r="BY385" s="5"/>
      <c r="BZ385" s="5"/>
      <c r="CA385" s="5"/>
      <c r="CB385" s="5"/>
      <c r="CC385" s="5"/>
    </row>
    <row r="386" spans="22:81" x14ac:dyDescent="0.25">
      <c r="V386" s="5"/>
      <c r="W386" s="5"/>
      <c r="X386" s="5"/>
      <c r="Y386" s="5"/>
      <c r="BY386" s="5"/>
      <c r="BZ386" s="5"/>
      <c r="CA386" s="5"/>
      <c r="CB386" s="5"/>
      <c r="CC386" s="5"/>
    </row>
    <row r="387" spans="22:81" x14ac:dyDescent="0.25">
      <c r="V387" s="5"/>
      <c r="W387" s="5"/>
      <c r="X387" s="5"/>
      <c r="Y387" s="5"/>
      <c r="BY387" s="5"/>
      <c r="BZ387" s="5"/>
      <c r="CA387" s="5"/>
      <c r="CB387" s="5"/>
      <c r="CC387" s="5"/>
    </row>
    <row r="388" spans="22:81" x14ac:dyDescent="0.25">
      <c r="V388" s="5"/>
      <c r="W388" s="5"/>
      <c r="X388" s="5"/>
      <c r="Y388" s="5"/>
      <c r="BY388" s="5"/>
      <c r="BZ388" s="5"/>
      <c r="CA388" s="5"/>
      <c r="CB388" s="5"/>
      <c r="CC388" s="5"/>
    </row>
    <row r="389" spans="22:81" x14ac:dyDescent="0.25">
      <c r="V389" s="5"/>
      <c r="W389" s="5"/>
      <c r="X389" s="5"/>
      <c r="Y389" s="5"/>
      <c r="BY389" s="5"/>
      <c r="BZ389" s="5"/>
      <c r="CA389" s="5"/>
      <c r="CB389" s="5"/>
      <c r="CC389" s="5"/>
    </row>
    <row r="390" spans="22:81" x14ac:dyDescent="0.25">
      <c r="V390" s="5"/>
      <c r="W390" s="5"/>
      <c r="X390" s="5"/>
      <c r="Y390" s="5"/>
      <c r="BY390" s="5"/>
      <c r="BZ390" s="5"/>
      <c r="CA390" s="5"/>
      <c r="CB390" s="5"/>
      <c r="CC390" s="5"/>
    </row>
    <row r="391" spans="22:81" x14ac:dyDescent="0.25">
      <c r="V391" s="5"/>
      <c r="W391" s="5"/>
      <c r="X391" s="5"/>
      <c r="Y391" s="5"/>
      <c r="BY391" s="5"/>
      <c r="BZ391" s="5"/>
      <c r="CA391" s="5"/>
      <c r="CB391" s="5"/>
      <c r="CC391" s="5"/>
    </row>
    <row r="392" spans="22:81" x14ac:dyDescent="0.25">
      <c r="V392" s="5"/>
      <c r="W392" s="5"/>
      <c r="X392" s="5"/>
      <c r="Y392" s="5"/>
      <c r="BY392" s="5"/>
      <c r="BZ392" s="5"/>
      <c r="CA392" s="5"/>
      <c r="CB392" s="5"/>
      <c r="CC392" s="5"/>
    </row>
    <row r="393" spans="22:81" x14ac:dyDescent="0.25">
      <c r="V393" s="5"/>
      <c r="W393" s="5"/>
      <c r="X393" s="5"/>
      <c r="Y393" s="5"/>
      <c r="BY393" s="5"/>
      <c r="BZ393" s="5"/>
      <c r="CA393" s="5"/>
      <c r="CB393" s="5"/>
      <c r="CC393" s="5"/>
    </row>
    <row r="394" spans="22:81" x14ac:dyDescent="0.25">
      <c r="V394" s="5"/>
      <c r="W394" s="5"/>
      <c r="X394" s="5"/>
      <c r="Y394" s="5"/>
      <c r="BY394" s="5"/>
      <c r="BZ394" s="5"/>
      <c r="CA394" s="5"/>
      <c r="CB394" s="5"/>
      <c r="CC394" s="5"/>
    </row>
    <row r="395" spans="22:81" x14ac:dyDescent="0.25">
      <c r="V395" s="5"/>
      <c r="W395" s="5"/>
      <c r="X395" s="5"/>
      <c r="Y395" s="5"/>
      <c r="BY395" s="5"/>
      <c r="BZ395" s="5"/>
      <c r="CA395" s="5"/>
      <c r="CB395" s="5"/>
      <c r="CC395" s="5"/>
    </row>
    <row r="396" spans="22:81" x14ac:dyDescent="0.25">
      <c r="V396" s="5"/>
      <c r="W396" s="5"/>
      <c r="X396" s="5"/>
      <c r="Y396" s="5"/>
      <c r="BY396" s="5"/>
      <c r="BZ396" s="5"/>
      <c r="CA396" s="5"/>
      <c r="CB396" s="5"/>
      <c r="CC396" s="5"/>
    </row>
    <row r="397" spans="22:81" x14ac:dyDescent="0.25">
      <c r="V397" s="5"/>
      <c r="W397" s="5"/>
      <c r="X397" s="5"/>
      <c r="Y397" s="5"/>
      <c r="BY397" s="5"/>
      <c r="BZ397" s="5"/>
      <c r="CA397" s="5"/>
      <c r="CB397" s="5"/>
      <c r="CC397" s="5"/>
    </row>
    <row r="398" spans="22:81" x14ac:dyDescent="0.25">
      <c r="V398" s="5"/>
      <c r="W398" s="5"/>
      <c r="X398" s="5"/>
      <c r="Y398" s="5"/>
      <c r="BY398" s="5"/>
      <c r="BZ398" s="5"/>
      <c r="CA398" s="5"/>
      <c r="CB398" s="5"/>
      <c r="CC398" s="5"/>
    </row>
    <row r="399" spans="22:81" x14ac:dyDescent="0.25">
      <c r="V399" s="5"/>
      <c r="W399" s="5"/>
      <c r="X399" s="5"/>
      <c r="Y399" s="5"/>
      <c r="BY399" s="5"/>
      <c r="BZ399" s="5"/>
      <c r="CA399" s="5"/>
      <c r="CB399" s="5"/>
      <c r="CC399" s="5"/>
    </row>
    <row r="400" spans="22:81" x14ac:dyDescent="0.25">
      <c r="V400" s="5"/>
      <c r="W400" s="5"/>
      <c r="X400" s="5"/>
      <c r="Y400" s="5"/>
      <c r="BY400" s="5"/>
      <c r="BZ400" s="5"/>
      <c r="CA400" s="5"/>
      <c r="CB400" s="5"/>
      <c r="CC400" s="5"/>
    </row>
    <row r="401" spans="22:81" x14ac:dyDescent="0.25">
      <c r="V401" s="5"/>
      <c r="W401" s="5"/>
      <c r="X401" s="5"/>
      <c r="Y401" s="5"/>
      <c r="BY401" s="5"/>
      <c r="BZ401" s="5"/>
      <c r="CA401" s="5"/>
      <c r="CB401" s="5"/>
      <c r="CC401" s="5"/>
    </row>
    <row r="402" spans="22:81" x14ac:dyDescent="0.25">
      <c r="V402" s="5"/>
      <c r="W402" s="5"/>
      <c r="X402" s="5"/>
      <c r="Y402" s="5"/>
      <c r="BY402" s="5"/>
      <c r="BZ402" s="5"/>
      <c r="CA402" s="5"/>
      <c r="CB402" s="5"/>
      <c r="CC402" s="5"/>
    </row>
    <row r="403" spans="22:81" x14ac:dyDescent="0.25">
      <c r="V403" s="5"/>
      <c r="W403" s="5"/>
      <c r="X403" s="5"/>
      <c r="Y403" s="5"/>
      <c r="BY403" s="5"/>
      <c r="BZ403" s="5"/>
      <c r="CA403" s="5"/>
      <c r="CB403" s="5"/>
      <c r="CC403" s="5"/>
    </row>
    <row r="404" spans="22:81" x14ac:dyDescent="0.25">
      <c r="V404" s="5"/>
      <c r="W404" s="5"/>
      <c r="X404" s="5"/>
      <c r="Y404" s="5"/>
      <c r="BY404" s="5"/>
      <c r="BZ404" s="5"/>
      <c r="CA404" s="5"/>
      <c r="CB404" s="5"/>
      <c r="CC404" s="5"/>
    </row>
    <row r="405" spans="22:81" x14ac:dyDescent="0.25">
      <c r="V405" s="5"/>
      <c r="W405" s="5"/>
      <c r="X405" s="5"/>
      <c r="Y405" s="5"/>
      <c r="BY405" s="5"/>
      <c r="BZ405" s="5"/>
      <c r="CA405" s="5"/>
      <c r="CB405" s="5"/>
      <c r="CC405" s="5"/>
    </row>
    <row r="406" spans="22:81" x14ac:dyDescent="0.25">
      <c r="V406" s="5"/>
      <c r="W406" s="5"/>
      <c r="X406" s="5"/>
      <c r="Y406" s="5"/>
      <c r="BY406" s="5"/>
      <c r="BZ406" s="5"/>
      <c r="CA406" s="5"/>
      <c r="CB406" s="5"/>
      <c r="CC406" s="5"/>
    </row>
    <row r="407" spans="22:81" x14ac:dyDescent="0.25">
      <c r="V407" s="5"/>
      <c r="W407" s="5"/>
      <c r="X407" s="5"/>
      <c r="Y407" s="5"/>
      <c r="BY407" s="5"/>
      <c r="BZ407" s="5"/>
      <c r="CA407" s="5"/>
      <c r="CB407" s="5"/>
      <c r="CC407" s="5"/>
    </row>
    <row r="408" spans="22:81" x14ac:dyDescent="0.25">
      <c r="V408" s="5"/>
      <c r="W408" s="5"/>
      <c r="X408" s="5"/>
      <c r="Y408" s="5"/>
      <c r="BY408" s="5"/>
      <c r="BZ408" s="5"/>
      <c r="CA408" s="5"/>
      <c r="CB408" s="5"/>
      <c r="CC408" s="5"/>
    </row>
    <row r="409" spans="22:81" x14ac:dyDescent="0.25">
      <c r="V409" s="5"/>
      <c r="W409" s="5"/>
      <c r="X409" s="5"/>
      <c r="Y409" s="5"/>
      <c r="BY409" s="5"/>
      <c r="BZ409" s="5"/>
      <c r="CA409" s="5"/>
      <c r="CB409" s="5"/>
      <c r="CC409" s="5"/>
    </row>
    <row r="410" spans="22:81" x14ac:dyDescent="0.25">
      <c r="V410" s="5"/>
      <c r="W410" s="5"/>
      <c r="X410" s="5"/>
      <c r="Y410" s="5"/>
      <c r="BY410" s="5"/>
      <c r="BZ410" s="5"/>
      <c r="CA410" s="5"/>
      <c r="CB410" s="5"/>
      <c r="CC410" s="5"/>
    </row>
    <row r="411" spans="22:81" x14ac:dyDescent="0.25">
      <c r="V411" s="5"/>
      <c r="W411" s="5"/>
      <c r="X411" s="5"/>
      <c r="Y411" s="5"/>
      <c r="BY411" s="5"/>
      <c r="BZ411" s="5"/>
      <c r="CA411" s="5"/>
      <c r="CB411" s="5"/>
      <c r="CC411" s="5"/>
    </row>
    <row r="412" spans="22:81" x14ac:dyDescent="0.25">
      <c r="V412" s="5"/>
      <c r="W412" s="5"/>
      <c r="X412" s="5"/>
      <c r="Y412" s="5"/>
      <c r="BY412" s="5"/>
      <c r="BZ412" s="5"/>
      <c r="CA412" s="5"/>
      <c r="CB412" s="5"/>
      <c r="CC412" s="5"/>
    </row>
    <row r="413" spans="22:81" x14ac:dyDescent="0.25">
      <c r="V413" s="5"/>
      <c r="W413" s="5"/>
      <c r="X413" s="5"/>
      <c r="Y413" s="5"/>
      <c r="BY413" s="5"/>
      <c r="BZ413" s="5"/>
      <c r="CA413" s="5"/>
      <c r="CB413" s="5"/>
      <c r="CC413" s="5"/>
    </row>
    <row r="414" spans="22:81" x14ac:dyDescent="0.25">
      <c r="V414" s="5"/>
      <c r="W414" s="5"/>
      <c r="X414" s="5"/>
      <c r="Y414" s="5"/>
      <c r="BY414" s="5"/>
      <c r="BZ414" s="5"/>
      <c r="CA414" s="5"/>
      <c r="CB414" s="5"/>
      <c r="CC414" s="5"/>
    </row>
    <row r="415" spans="22:81" x14ac:dyDescent="0.25">
      <c r="V415" s="5"/>
      <c r="W415" s="5"/>
      <c r="X415" s="5"/>
      <c r="Y415" s="5"/>
      <c r="BY415" s="5"/>
      <c r="BZ415" s="5"/>
      <c r="CA415" s="5"/>
      <c r="CB415" s="5"/>
      <c r="CC415" s="5"/>
    </row>
    <row r="416" spans="22:81" x14ac:dyDescent="0.25">
      <c r="V416" s="5"/>
      <c r="W416" s="5"/>
      <c r="X416" s="5"/>
      <c r="Y416" s="5"/>
      <c r="BY416" s="5"/>
      <c r="BZ416" s="5"/>
      <c r="CA416" s="5"/>
      <c r="CB416" s="5"/>
      <c r="CC416" s="5"/>
    </row>
    <row r="417" spans="22:81" x14ac:dyDescent="0.25">
      <c r="V417" s="5"/>
      <c r="W417" s="5"/>
      <c r="X417" s="5"/>
      <c r="Y417" s="5"/>
      <c r="BY417" s="5"/>
      <c r="BZ417" s="5"/>
      <c r="CA417" s="5"/>
      <c r="CB417" s="5"/>
      <c r="CC417" s="5"/>
    </row>
    <row r="418" spans="22:81" x14ac:dyDescent="0.25">
      <c r="V418" s="5"/>
      <c r="W418" s="5"/>
      <c r="X418" s="5"/>
      <c r="Y418" s="5"/>
      <c r="BY418" s="5"/>
      <c r="BZ418" s="5"/>
      <c r="CA418" s="5"/>
      <c r="CB418" s="5"/>
      <c r="CC418" s="5"/>
    </row>
    <row r="419" spans="22:81" x14ac:dyDescent="0.25">
      <c r="V419" s="5"/>
      <c r="W419" s="5"/>
      <c r="X419" s="5"/>
      <c r="Y419" s="5"/>
      <c r="BY419" s="5"/>
      <c r="BZ419" s="5"/>
      <c r="CA419" s="5"/>
      <c r="CB419" s="5"/>
      <c r="CC419" s="5"/>
    </row>
    <row r="420" spans="22:81" x14ac:dyDescent="0.25">
      <c r="V420" s="5"/>
      <c r="W420" s="5"/>
      <c r="X420" s="5"/>
      <c r="Y420" s="5"/>
      <c r="BY420" s="5"/>
      <c r="BZ420" s="5"/>
      <c r="CA420" s="5"/>
      <c r="CB420" s="5"/>
      <c r="CC420" s="5"/>
    </row>
    <row r="421" spans="22:81" x14ac:dyDescent="0.25">
      <c r="V421" s="5"/>
      <c r="W421" s="5"/>
      <c r="X421" s="5"/>
      <c r="Y421" s="5"/>
      <c r="BY421" s="5"/>
      <c r="BZ421" s="5"/>
      <c r="CA421" s="5"/>
      <c r="CB421" s="5"/>
      <c r="CC421" s="5"/>
    </row>
    <row r="422" spans="22:81" x14ac:dyDescent="0.25">
      <c r="V422" s="5"/>
      <c r="W422" s="5"/>
      <c r="X422" s="5"/>
      <c r="Y422" s="5"/>
      <c r="BY422" s="5"/>
      <c r="BZ422" s="5"/>
      <c r="CA422" s="5"/>
      <c r="CB422" s="5"/>
      <c r="CC422" s="5"/>
    </row>
    <row r="423" spans="22:81" x14ac:dyDescent="0.25">
      <c r="V423" s="5"/>
      <c r="W423" s="5"/>
      <c r="X423" s="5"/>
      <c r="Y423" s="5"/>
      <c r="BY423" s="5"/>
      <c r="BZ423" s="5"/>
      <c r="CA423" s="5"/>
      <c r="CB423" s="5"/>
      <c r="CC423" s="5"/>
    </row>
    <row r="424" spans="22:81" x14ac:dyDescent="0.25">
      <c r="V424" s="5"/>
      <c r="W424" s="5"/>
      <c r="X424" s="5"/>
      <c r="Y424" s="5"/>
      <c r="BY424" s="5"/>
      <c r="BZ424" s="5"/>
      <c r="CA424" s="5"/>
      <c r="CB424" s="5"/>
      <c r="CC424" s="5"/>
    </row>
    <row r="425" spans="22:81" x14ac:dyDescent="0.25">
      <c r="V425" s="5"/>
      <c r="W425" s="5"/>
      <c r="X425" s="5"/>
      <c r="Y425" s="5"/>
      <c r="BY425" s="5"/>
      <c r="BZ425" s="5"/>
      <c r="CA425" s="5"/>
      <c r="CB425" s="5"/>
      <c r="CC425" s="5"/>
    </row>
    <row r="426" spans="22:81" x14ac:dyDescent="0.25">
      <c r="V426" s="5"/>
      <c r="W426" s="5"/>
      <c r="X426" s="5"/>
      <c r="Y426" s="5"/>
      <c r="BY426" s="5"/>
      <c r="BZ426" s="5"/>
      <c r="CA426" s="5"/>
      <c r="CB426" s="5"/>
      <c r="CC426" s="5"/>
    </row>
    <row r="427" spans="22:81" x14ac:dyDescent="0.25">
      <c r="V427" s="5"/>
      <c r="W427" s="5"/>
      <c r="X427" s="5"/>
      <c r="Y427" s="5"/>
      <c r="BY427" s="5"/>
      <c r="BZ427" s="5"/>
      <c r="CA427" s="5"/>
      <c r="CB427" s="5"/>
      <c r="CC427" s="5"/>
    </row>
    <row r="428" spans="22:81" x14ac:dyDescent="0.25">
      <c r="V428" s="5"/>
      <c r="W428" s="5"/>
      <c r="X428" s="5"/>
      <c r="Y428" s="5"/>
      <c r="BY428" s="5"/>
      <c r="BZ428" s="5"/>
      <c r="CA428" s="5"/>
      <c r="CB428" s="5"/>
      <c r="CC428" s="5"/>
    </row>
    <row r="429" spans="22:81" x14ac:dyDescent="0.25">
      <c r="V429" s="5"/>
      <c r="W429" s="5"/>
      <c r="X429" s="5"/>
      <c r="Y429" s="5"/>
      <c r="BY429" s="5"/>
      <c r="BZ429" s="5"/>
      <c r="CA429" s="5"/>
      <c r="CB429" s="5"/>
      <c r="CC429" s="5"/>
    </row>
    <row r="430" spans="22:81" x14ac:dyDescent="0.25">
      <c r="V430" s="5"/>
      <c r="W430" s="5"/>
      <c r="X430" s="5"/>
      <c r="Y430" s="5"/>
      <c r="BY430" s="5"/>
      <c r="BZ430" s="5"/>
      <c r="CA430" s="5"/>
      <c r="CB430" s="5"/>
      <c r="CC430" s="5"/>
    </row>
    <row r="431" spans="22:81" x14ac:dyDescent="0.25">
      <c r="V431" s="5"/>
      <c r="W431" s="5"/>
      <c r="X431" s="5"/>
      <c r="Y431" s="5"/>
      <c r="BY431" s="5"/>
      <c r="BZ431" s="5"/>
      <c r="CA431" s="5"/>
      <c r="CB431" s="5"/>
      <c r="CC431" s="5"/>
    </row>
    <row r="432" spans="22:81" x14ac:dyDescent="0.25">
      <c r="V432" s="5"/>
      <c r="W432" s="5"/>
      <c r="X432" s="5"/>
      <c r="Y432" s="5"/>
      <c r="BY432" s="5"/>
      <c r="BZ432" s="5"/>
      <c r="CA432" s="5"/>
      <c r="CB432" s="5"/>
      <c r="CC432" s="5"/>
    </row>
    <row r="433" spans="22:81" x14ac:dyDescent="0.25">
      <c r="V433" s="5"/>
      <c r="W433" s="5"/>
      <c r="X433" s="5"/>
      <c r="Y433" s="5"/>
      <c r="BY433" s="5"/>
      <c r="BZ433" s="5"/>
      <c r="CA433" s="5"/>
      <c r="CB433" s="5"/>
      <c r="CC433" s="5"/>
    </row>
    <row r="434" spans="22:81" x14ac:dyDescent="0.25">
      <c r="V434" s="5"/>
      <c r="W434" s="5"/>
      <c r="X434" s="5"/>
      <c r="Y434" s="5"/>
      <c r="BY434" s="5"/>
      <c r="BZ434" s="5"/>
      <c r="CA434" s="5"/>
      <c r="CB434" s="5"/>
      <c r="CC434" s="5"/>
    </row>
    <row r="435" spans="22:81" x14ac:dyDescent="0.25">
      <c r="V435" s="5"/>
      <c r="W435" s="5"/>
      <c r="X435" s="5"/>
      <c r="Y435" s="5"/>
      <c r="BY435" s="5"/>
      <c r="BZ435" s="5"/>
      <c r="CA435" s="5"/>
      <c r="CB435" s="5"/>
      <c r="CC435" s="5"/>
    </row>
    <row r="436" spans="22:81" x14ac:dyDescent="0.25">
      <c r="V436" s="5"/>
      <c r="W436" s="5"/>
      <c r="X436" s="5"/>
      <c r="Y436" s="5"/>
      <c r="BY436" s="5"/>
      <c r="BZ436" s="5"/>
      <c r="CA436" s="5"/>
      <c r="CB436" s="5"/>
      <c r="CC436" s="5"/>
    </row>
    <row r="437" spans="22:81" x14ac:dyDescent="0.25">
      <c r="V437" s="5"/>
      <c r="W437" s="5"/>
      <c r="X437" s="5"/>
      <c r="Y437" s="5"/>
      <c r="BY437" s="5"/>
      <c r="BZ437" s="5"/>
      <c r="CA437" s="5"/>
      <c r="CB437" s="5"/>
      <c r="CC437" s="5"/>
    </row>
    <row r="438" spans="22:81" x14ac:dyDescent="0.25">
      <c r="V438" s="5"/>
      <c r="W438" s="5"/>
      <c r="X438" s="5"/>
      <c r="Y438" s="5"/>
      <c r="BY438" s="5"/>
      <c r="BZ438" s="5"/>
      <c r="CA438" s="5"/>
      <c r="CB438" s="5"/>
      <c r="CC438" s="5"/>
    </row>
    <row r="439" spans="22:81" x14ac:dyDescent="0.25">
      <c r="V439" s="5"/>
      <c r="W439" s="5"/>
      <c r="X439" s="5"/>
      <c r="Y439" s="5"/>
      <c r="BY439" s="5"/>
      <c r="BZ439" s="5"/>
      <c r="CA439" s="5"/>
      <c r="CB439" s="5"/>
      <c r="CC439" s="5"/>
    </row>
    <row r="440" spans="22:81" x14ac:dyDescent="0.25">
      <c r="V440" s="5"/>
      <c r="W440" s="5"/>
      <c r="X440" s="5"/>
      <c r="Y440" s="5"/>
      <c r="BY440" s="5"/>
      <c r="BZ440" s="5"/>
      <c r="CA440" s="5"/>
      <c r="CB440" s="5"/>
      <c r="CC440" s="5"/>
    </row>
    <row r="441" spans="22:81" x14ac:dyDescent="0.25">
      <c r="V441" s="5"/>
      <c r="W441" s="5"/>
      <c r="X441" s="5"/>
      <c r="Y441" s="5"/>
      <c r="BY441" s="5"/>
      <c r="BZ441" s="5"/>
      <c r="CA441" s="5"/>
      <c r="CB441" s="5"/>
      <c r="CC441" s="5"/>
    </row>
    <row r="442" spans="22:81" x14ac:dyDescent="0.25">
      <c r="V442" s="5"/>
      <c r="W442" s="5"/>
      <c r="X442" s="5"/>
      <c r="Y442" s="5"/>
      <c r="BY442" s="5"/>
      <c r="BZ442" s="5"/>
      <c r="CA442" s="5"/>
      <c r="CB442" s="5"/>
      <c r="CC442" s="5"/>
    </row>
    <row r="443" spans="22:81" x14ac:dyDescent="0.25">
      <c r="V443" s="5"/>
      <c r="W443" s="5"/>
      <c r="X443" s="5"/>
      <c r="Y443" s="5"/>
      <c r="BY443" s="5"/>
      <c r="BZ443" s="5"/>
      <c r="CA443" s="5"/>
      <c r="CB443" s="5"/>
      <c r="CC443" s="5"/>
    </row>
    <row r="444" spans="22:81" x14ac:dyDescent="0.25">
      <c r="V444" s="5"/>
      <c r="W444" s="5"/>
      <c r="X444" s="5"/>
      <c r="Y444" s="5"/>
      <c r="BY444" s="5"/>
      <c r="BZ444" s="5"/>
      <c r="CA444" s="5"/>
      <c r="CB444" s="5"/>
      <c r="CC444" s="5"/>
    </row>
    <row r="445" spans="22:81" x14ac:dyDescent="0.25">
      <c r="V445" s="5"/>
      <c r="W445" s="5"/>
      <c r="X445" s="5"/>
      <c r="Y445" s="5"/>
      <c r="BY445" s="5"/>
      <c r="BZ445" s="5"/>
      <c r="CA445" s="5"/>
      <c r="CB445" s="5"/>
      <c r="CC445" s="5"/>
    </row>
    <row r="446" spans="22:81" x14ac:dyDescent="0.25">
      <c r="V446" s="5"/>
      <c r="W446" s="5"/>
      <c r="X446" s="5"/>
      <c r="Y446" s="5"/>
      <c r="BY446" s="5"/>
      <c r="BZ446" s="5"/>
      <c r="CA446" s="5"/>
      <c r="CB446" s="5"/>
      <c r="CC446" s="5"/>
    </row>
    <row r="447" spans="22:81" x14ac:dyDescent="0.25">
      <c r="V447" s="5"/>
      <c r="W447" s="5"/>
      <c r="X447" s="5"/>
      <c r="Y447" s="5"/>
      <c r="BY447" s="5"/>
      <c r="BZ447" s="5"/>
      <c r="CA447" s="5"/>
      <c r="CB447" s="5"/>
      <c r="CC447" s="5"/>
    </row>
    <row r="448" spans="22:81" x14ac:dyDescent="0.25">
      <c r="V448" s="5"/>
      <c r="W448" s="5"/>
      <c r="X448" s="5"/>
      <c r="Y448" s="5"/>
      <c r="BY448" s="5"/>
      <c r="BZ448" s="5"/>
      <c r="CA448" s="5"/>
      <c r="CB448" s="5"/>
      <c r="CC448" s="5"/>
    </row>
    <row r="449" spans="22:81" x14ac:dyDescent="0.25">
      <c r="V449" s="5"/>
      <c r="W449" s="5"/>
      <c r="X449" s="5"/>
      <c r="Y449" s="5"/>
      <c r="BY449" s="5"/>
      <c r="BZ449" s="5"/>
      <c r="CA449" s="5"/>
      <c r="CB449" s="5"/>
      <c r="CC449" s="5"/>
    </row>
    <row r="450" spans="22:81" x14ac:dyDescent="0.25">
      <c r="V450" s="5"/>
      <c r="W450" s="5"/>
      <c r="X450" s="5"/>
      <c r="Y450" s="5"/>
      <c r="BY450" s="5"/>
      <c r="BZ450" s="5"/>
      <c r="CA450" s="5"/>
      <c r="CB450" s="5"/>
      <c r="CC450" s="5"/>
    </row>
    <row r="451" spans="22:81" x14ac:dyDescent="0.25">
      <c r="V451" s="5"/>
      <c r="W451" s="5"/>
      <c r="X451" s="5"/>
      <c r="Y451" s="5"/>
      <c r="BY451" s="5"/>
      <c r="BZ451" s="5"/>
      <c r="CA451" s="5"/>
      <c r="CB451" s="5"/>
      <c r="CC451" s="5"/>
    </row>
    <row r="452" spans="22:81" x14ac:dyDescent="0.25">
      <c r="V452" s="5"/>
      <c r="W452" s="5"/>
      <c r="X452" s="5"/>
      <c r="Y452" s="5"/>
      <c r="BY452" s="5"/>
      <c r="BZ452" s="5"/>
      <c r="CA452" s="5"/>
      <c r="CB452" s="5"/>
      <c r="CC452" s="5"/>
    </row>
    <row r="453" spans="22:81" x14ac:dyDescent="0.25">
      <c r="V453" s="5"/>
      <c r="W453" s="5"/>
      <c r="X453" s="5"/>
      <c r="Y453" s="5"/>
      <c r="BY453" s="5"/>
      <c r="BZ453" s="5"/>
      <c r="CA453" s="5"/>
      <c r="CB453" s="5"/>
      <c r="CC453" s="5"/>
    </row>
    <row r="454" spans="22:81" x14ac:dyDescent="0.25">
      <c r="V454" s="5"/>
      <c r="W454" s="5"/>
      <c r="X454" s="5"/>
      <c r="Y454" s="5"/>
      <c r="BY454" s="5"/>
      <c r="BZ454" s="5"/>
      <c r="CA454" s="5"/>
      <c r="CB454" s="5"/>
      <c r="CC454" s="5"/>
    </row>
    <row r="455" spans="22:81" x14ac:dyDescent="0.25">
      <c r="V455" s="5"/>
      <c r="W455" s="5"/>
      <c r="X455" s="5"/>
      <c r="Y455" s="5"/>
      <c r="BY455" s="5"/>
      <c r="BZ455" s="5"/>
      <c r="CA455" s="5"/>
      <c r="CB455" s="5"/>
      <c r="CC455" s="5"/>
    </row>
    <row r="456" spans="22:81" x14ac:dyDescent="0.25">
      <c r="V456" s="5"/>
      <c r="W456" s="5"/>
      <c r="X456" s="5"/>
      <c r="Y456" s="5"/>
      <c r="BY456" s="5"/>
      <c r="BZ456" s="5"/>
      <c r="CA456" s="5"/>
      <c r="CB456" s="5"/>
      <c r="CC456" s="5"/>
    </row>
    <row r="457" spans="22:81" x14ac:dyDescent="0.25">
      <c r="V457" s="5"/>
      <c r="W457" s="5"/>
      <c r="X457" s="5"/>
      <c r="Y457" s="5"/>
      <c r="BY457" s="5"/>
      <c r="BZ457" s="5"/>
      <c r="CA457" s="5"/>
      <c r="CB457" s="5"/>
      <c r="CC457" s="5"/>
    </row>
    <row r="458" spans="22:81" x14ac:dyDescent="0.25">
      <c r="V458" s="5"/>
      <c r="W458" s="5"/>
      <c r="X458" s="5"/>
      <c r="Y458" s="5"/>
      <c r="BY458" s="5"/>
      <c r="BZ458" s="5"/>
      <c r="CA458" s="5"/>
      <c r="CB458" s="5"/>
      <c r="CC458" s="5"/>
    </row>
    <row r="459" spans="22:81" x14ac:dyDescent="0.25">
      <c r="V459" s="5"/>
      <c r="W459" s="5"/>
      <c r="X459" s="5"/>
      <c r="Y459" s="5"/>
      <c r="BY459" s="5"/>
      <c r="BZ459" s="5"/>
      <c r="CA459" s="5"/>
      <c r="CB459" s="5"/>
      <c r="CC459" s="5"/>
    </row>
    <row r="460" spans="22:81" x14ac:dyDescent="0.25">
      <c r="V460" s="5"/>
      <c r="W460" s="5"/>
      <c r="X460" s="5"/>
      <c r="Y460" s="5"/>
      <c r="BY460" s="5"/>
      <c r="BZ460" s="5"/>
      <c r="CA460" s="5"/>
      <c r="CB460" s="5"/>
      <c r="CC460" s="5"/>
    </row>
    <row r="461" spans="22:81" x14ac:dyDescent="0.25">
      <c r="V461" s="5"/>
      <c r="W461" s="5"/>
      <c r="X461" s="5"/>
      <c r="Y461" s="5"/>
      <c r="BY461" s="5"/>
      <c r="BZ461" s="5"/>
      <c r="CA461" s="5"/>
      <c r="CB461" s="5"/>
      <c r="CC461" s="5"/>
    </row>
    <row r="462" spans="22:81" x14ac:dyDescent="0.25">
      <c r="V462" s="5"/>
      <c r="W462" s="5"/>
      <c r="X462" s="5"/>
      <c r="Y462" s="5"/>
      <c r="BY462" s="5"/>
      <c r="BZ462" s="5"/>
      <c r="CA462" s="5"/>
      <c r="CB462" s="5"/>
      <c r="CC462" s="5"/>
    </row>
    <row r="463" spans="22:81" x14ac:dyDescent="0.25">
      <c r="V463" s="5"/>
      <c r="W463" s="5"/>
      <c r="X463" s="5"/>
      <c r="Y463" s="5"/>
      <c r="BY463" s="5"/>
      <c r="BZ463" s="5"/>
      <c r="CA463" s="5"/>
      <c r="CB463" s="5"/>
      <c r="CC463" s="5"/>
    </row>
    <row r="464" spans="22:81" x14ac:dyDescent="0.25">
      <c r="V464" s="5"/>
      <c r="W464" s="5"/>
      <c r="X464" s="5"/>
      <c r="Y464" s="5"/>
      <c r="BY464" s="5"/>
      <c r="BZ464" s="5"/>
      <c r="CA464" s="5"/>
      <c r="CB464" s="5"/>
      <c r="CC464" s="5"/>
    </row>
    <row r="465" spans="22:81" x14ac:dyDescent="0.25">
      <c r="V465" s="5"/>
      <c r="W465" s="5"/>
      <c r="X465" s="5"/>
      <c r="Y465" s="5"/>
      <c r="BY465" s="5"/>
      <c r="BZ465" s="5"/>
      <c r="CA465" s="5"/>
      <c r="CB465" s="5"/>
      <c r="CC465" s="5"/>
    </row>
    <row r="466" spans="22:81" x14ac:dyDescent="0.25">
      <c r="V466" s="5"/>
      <c r="W466" s="5"/>
      <c r="X466" s="5"/>
      <c r="Y466" s="5"/>
      <c r="BY466" s="5"/>
      <c r="BZ466" s="5"/>
      <c r="CA466" s="5"/>
      <c r="CB466" s="5"/>
      <c r="CC466" s="5"/>
    </row>
    <row r="467" spans="22:81" x14ac:dyDescent="0.25">
      <c r="V467" s="5"/>
      <c r="W467" s="5"/>
      <c r="X467" s="5"/>
      <c r="Y467" s="5"/>
      <c r="BY467" s="5"/>
      <c r="BZ467" s="5"/>
      <c r="CA467" s="5"/>
      <c r="CB467" s="5"/>
      <c r="CC467" s="5"/>
    </row>
    <row r="468" spans="22:81" x14ac:dyDescent="0.25">
      <c r="V468" s="5"/>
      <c r="W468" s="5"/>
      <c r="X468" s="5"/>
      <c r="Y468" s="5"/>
      <c r="BY468" s="5"/>
      <c r="BZ468" s="5"/>
      <c r="CA468" s="5"/>
      <c r="CB468" s="5"/>
      <c r="CC468" s="5"/>
    </row>
    <row r="469" spans="22:81" x14ac:dyDescent="0.25">
      <c r="V469" s="5"/>
      <c r="W469" s="5"/>
      <c r="X469" s="5"/>
      <c r="Y469" s="5"/>
      <c r="BY469" s="5"/>
      <c r="BZ469" s="5"/>
      <c r="CA469" s="5"/>
      <c r="CB469" s="5"/>
      <c r="CC469" s="5"/>
    </row>
    <row r="470" spans="22:81" x14ac:dyDescent="0.25">
      <c r="V470" s="5"/>
      <c r="W470" s="5"/>
      <c r="X470" s="5"/>
      <c r="Y470" s="5"/>
      <c r="BY470" s="5"/>
      <c r="BZ470" s="5"/>
      <c r="CA470" s="5"/>
      <c r="CB470" s="5"/>
      <c r="CC470" s="5"/>
    </row>
    <row r="471" spans="22:81" x14ac:dyDescent="0.25">
      <c r="V471" s="5"/>
      <c r="W471" s="5"/>
      <c r="X471" s="5"/>
      <c r="Y471" s="5"/>
      <c r="BY471" s="5"/>
      <c r="BZ471" s="5"/>
      <c r="CA471" s="5"/>
      <c r="CB471" s="5"/>
      <c r="CC471" s="5"/>
    </row>
    <row r="472" spans="22:81" x14ac:dyDescent="0.25">
      <c r="V472" s="5"/>
      <c r="W472" s="5"/>
      <c r="X472" s="5"/>
      <c r="Y472" s="5"/>
      <c r="BY472" s="5"/>
      <c r="BZ472" s="5"/>
      <c r="CA472" s="5"/>
      <c r="CB472" s="5"/>
      <c r="CC472" s="5"/>
    </row>
    <row r="473" spans="22:81" x14ac:dyDescent="0.25">
      <c r="V473" s="5"/>
      <c r="W473" s="5"/>
      <c r="X473" s="5"/>
      <c r="Y473" s="5"/>
      <c r="BY473" s="5"/>
      <c r="BZ473" s="5"/>
      <c r="CA473" s="5"/>
      <c r="CB473" s="5"/>
      <c r="CC473" s="5"/>
    </row>
    <row r="474" spans="22:81" x14ac:dyDescent="0.25">
      <c r="V474" s="5"/>
      <c r="W474" s="5"/>
      <c r="X474" s="5"/>
      <c r="Y474" s="5"/>
      <c r="BY474" s="5"/>
      <c r="BZ474" s="5"/>
      <c r="CA474" s="5"/>
      <c r="CB474" s="5"/>
      <c r="CC474" s="5"/>
    </row>
    <row r="475" spans="22:81" x14ac:dyDescent="0.25">
      <c r="V475" s="5"/>
      <c r="W475" s="5"/>
      <c r="X475" s="5"/>
      <c r="Y475" s="5"/>
      <c r="BY475" s="5"/>
      <c r="BZ475" s="5"/>
      <c r="CA475" s="5"/>
      <c r="CB475" s="5"/>
      <c r="CC475" s="5"/>
    </row>
    <row r="476" spans="22:81" x14ac:dyDescent="0.25">
      <c r="V476" s="5"/>
      <c r="W476" s="5"/>
      <c r="X476" s="5"/>
      <c r="Y476" s="5"/>
      <c r="BY476" s="5"/>
      <c r="BZ476" s="5"/>
      <c r="CA476" s="5"/>
      <c r="CB476" s="5"/>
      <c r="CC476" s="5"/>
    </row>
    <row r="477" spans="22:81" x14ac:dyDescent="0.25">
      <c r="V477" s="5"/>
      <c r="W477" s="5"/>
      <c r="X477" s="5"/>
      <c r="Y477" s="5"/>
      <c r="BY477" s="5"/>
      <c r="BZ477" s="5"/>
      <c r="CA477" s="5"/>
      <c r="CB477" s="5"/>
      <c r="CC477" s="5"/>
    </row>
    <row r="478" spans="22:81" x14ac:dyDescent="0.25">
      <c r="V478" s="5"/>
      <c r="W478" s="5"/>
      <c r="X478" s="5"/>
      <c r="Y478" s="5"/>
      <c r="BY478" s="5"/>
      <c r="BZ478" s="5"/>
      <c r="CA478" s="5"/>
      <c r="CB478" s="5"/>
      <c r="CC478" s="5"/>
    </row>
    <row r="479" spans="22:81" x14ac:dyDescent="0.25">
      <c r="V479" s="5"/>
      <c r="W479" s="5"/>
      <c r="X479" s="5"/>
      <c r="Y479" s="5"/>
      <c r="BY479" s="5"/>
      <c r="BZ479" s="5"/>
      <c r="CA479" s="5"/>
      <c r="CB479" s="5"/>
      <c r="CC479" s="5"/>
    </row>
    <row r="480" spans="22:81" x14ac:dyDescent="0.25">
      <c r="V480" s="5"/>
      <c r="W480" s="5"/>
      <c r="X480" s="5"/>
      <c r="Y480" s="5"/>
      <c r="BY480" s="5"/>
      <c r="BZ480" s="5"/>
      <c r="CA480" s="5"/>
      <c r="CB480" s="5"/>
      <c r="CC480" s="5"/>
    </row>
    <row r="481" spans="22:81" x14ac:dyDescent="0.25">
      <c r="V481" s="5"/>
      <c r="W481" s="5"/>
      <c r="X481" s="5"/>
      <c r="Y481" s="5"/>
      <c r="BY481" s="5"/>
      <c r="BZ481" s="5"/>
      <c r="CA481" s="5"/>
      <c r="CB481" s="5"/>
      <c r="CC481" s="5"/>
    </row>
    <row r="482" spans="22:81" x14ac:dyDescent="0.25">
      <c r="V482" s="5"/>
      <c r="W482" s="5"/>
      <c r="X482" s="5"/>
      <c r="Y482" s="5"/>
      <c r="BY482" s="5"/>
      <c r="BZ482" s="5"/>
      <c r="CA482" s="5"/>
      <c r="CB482" s="5"/>
      <c r="CC482" s="5"/>
    </row>
    <row r="483" spans="22:81" x14ac:dyDescent="0.25">
      <c r="V483" s="5"/>
      <c r="W483" s="5"/>
      <c r="X483" s="5"/>
      <c r="Y483" s="5"/>
      <c r="BY483" s="5"/>
      <c r="BZ483" s="5"/>
      <c r="CA483" s="5"/>
      <c r="CB483" s="5"/>
      <c r="CC483" s="5"/>
    </row>
    <row r="484" spans="22:81" x14ac:dyDescent="0.25">
      <c r="V484" s="5"/>
      <c r="W484" s="5"/>
      <c r="X484" s="5"/>
      <c r="Y484" s="5"/>
      <c r="BY484" s="5"/>
      <c r="BZ484" s="5"/>
      <c r="CA484" s="5"/>
      <c r="CB484" s="5"/>
      <c r="CC484" s="5"/>
    </row>
    <row r="485" spans="22:81" x14ac:dyDescent="0.25">
      <c r="V485" s="5"/>
      <c r="W485" s="5"/>
      <c r="X485" s="5"/>
      <c r="Y485" s="5"/>
      <c r="BY485" s="5"/>
      <c r="BZ485" s="5"/>
      <c r="CA485" s="5"/>
      <c r="CB485" s="5"/>
      <c r="CC485" s="5"/>
    </row>
    <row r="486" spans="22:81" x14ac:dyDescent="0.25">
      <c r="V486" s="5"/>
      <c r="W486" s="5"/>
      <c r="X486" s="5"/>
      <c r="Y486" s="5"/>
      <c r="BY486" s="5"/>
      <c r="BZ486" s="5"/>
      <c r="CA486" s="5"/>
      <c r="CB486" s="5"/>
      <c r="CC486" s="5"/>
    </row>
    <row r="487" spans="22:81" x14ac:dyDescent="0.25">
      <c r="V487" s="5"/>
      <c r="W487" s="5"/>
      <c r="X487" s="5"/>
      <c r="Y487" s="5"/>
      <c r="BY487" s="5"/>
      <c r="BZ487" s="5"/>
      <c r="CA487" s="5"/>
      <c r="CB487" s="5"/>
      <c r="CC487" s="5"/>
    </row>
    <row r="488" spans="22:81" x14ac:dyDescent="0.25">
      <c r="V488" s="5"/>
      <c r="W488" s="5"/>
      <c r="X488" s="5"/>
      <c r="Y488" s="5"/>
      <c r="BY488" s="5"/>
      <c r="BZ488" s="5"/>
      <c r="CA488" s="5"/>
      <c r="CB488" s="5"/>
      <c r="CC488" s="5"/>
    </row>
    <row r="489" spans="22:81" x14ac:dyDescent="0.25">
      <c r="V489" s="5"/>
      <c r="W489" s="5"/>
      <c r="X489" s="5"/>
      <c r="Y489" s="5"/>
      <c r="BY489" s="5"/>
      <c r="BZ489" s="5"/>
      <c r="CA489" s="5"/>
      <c r="CB489" s="5"/>
      <c r="CC489" s="5"/>
    </row>
    <row r="490" spans="22:81" x14ac:dyDescent="0.25">
      <c r="V490" s="5"/>
      <c r="W490" s="5"/>
      <c r="X490" s="5"/>
      <c r="Y490" s="5"/>
      <c r="BY490" s="5"/>
      <c r="BZ490" s="5"/>
      <c r="CA490" s="5"/>
      <c r="CB490" s="5"/>
      <c r="CC490" s="5"/>
    </row>
    <row r="491" spans="22:81" x14ac:dyDescent="0.25">
      <c r="V491" s="5"/>
      <c r="W491" s="5"/>
      <c r="X491" s="5"/>
      <c r="Y491" s="5"/>
      <c r="BY491" s="5"/>
      <c r="BZ491" s="5"/>
      <c r="CA491" s="5"/>
      <c r="CB491" s="5"/>
      <c r="CC491" s="5"/>
    </row>
    <row r="492" spans="22:81" x14ac:dyDescent="0.25">
      <c r="V492" s="5"/>
      <c r="W492" s="5"/>
      <c r="X492" s="5"/>
      <c r="Y492" s="5"/>
      <c r="BY492" s="5"/>
      <c r="BZ492" s="5"/>
      <c r="CA492" s="5"/>
      <c r="CB492" s="5"/>
      <c r="CC492" s="5"/>
    </row>
    <row r="493" spans="22:81" x14ac:dyDescent="0.25">
      <c r="V493" s="5"/>
      <c r="W493" s="5"/>
      <c r="X493" s="5"/>
      <c r="Y493" s="5"/>
      <c r="BY493" s="5"/>
      <c r="BZ493" s="5"/>
      <c r="CA493" s="5"/>
      <c r="CB493" s="5"/>
      <c r="CC493" s="5"/>
    </row>
    <row r="494" spans="22:81" x14ac:dyDescent="0.25">
      <c r="V494" s="5"/>
      <c r="W494" s="5"/>
      <c r="X494" s="5"/>
      <c r="Y494" s="5"/>
      <c r="BY494" s="5"/>
      <c r="BZ494" s="5"/>
      <c r="CA494" s="5"/>
      <c r="CB494" s="5"/>
      <c r="CC494" s="5"/>
    </row>
    <row r="495" spans="22:81" x14ac:dyDescent="0.25">
      <c r="V495" s="5"/>
      <c r="W495" s="5"/>
      <c r="X495" s="5"/>
      <c r="Y495" s="5"/>
      <c r="BY495" s="5"/>
      <c r="BZ495" s="5"/>
      <c r="CA495" s="5"/>
      <c r="CB495" s="5"/>
      <c r="CC495" s="5"/>
    </row>
    <row r="496" spans="22:81" x14ac:dyDescent="0.25">
      <c r="V496" s="5"/>
      <c r="W496" s="5"/>
      <c r="X496" s="5"/>
      <c r="Y496" s="5"/>
      <c r="BY496" s="5"/>
      <c r="BZ496" s="5"/>
      <c r="CA496" s="5"/>
      <c r="CB496" s="5"/>
      <c r="CC496" s="5"/>
    </row>
    <row r="497" spans="22:81" x14ac:dyDescent="0.25">
      <c r="V497" s="5"/>
      <c r="W497" s="5"/>
      <c r="X497" s="5"/>
      <c r="Y497" s="5"/>
      <c r="BY497" s="5"/>
      <c r="BZ497" s="5"/>
      <c r="CA497" s="5"/>
      <c r="CB497" s="5"/>
      <c r="CC497" s="5"/>
    </row>
    <row r="498" spans="22:81" x14ac:dyDescent="0.25">
      <c r="V498" s="5"/>
      <c r="W498" s="5"/>
      <c r="X498" s="5"/>
      <c r="Y498" s="5"/>
      <c r="BY498" s="5"/>
      <c r="BZ498" s="5"/>
      <c r="CA498" s="5"/>
      <c r="CB498" s="5"/>
      <c r="CC498" s="5"/>
    </row>
    <row r="499" spans="22:81" x14ac:dyDescent="0.25">
      <c r="V499" s="5"/>
      <c r="W499" s="5"/>
      <c r="X499" s="5"/>
      <c r="Y499" s="5"/>
      <c r="BY499" s="5"/>
      <c r="BZ499" s="5"/>
      <c r="CA499" s="5"/>
      <c r="CB499" s="5"/>
      <c r="CC499" s="5"/>
    </row>
    <row r="500" spans="22:81" x14ac:dyDescent="0.25">
      <c r="V500" s="5"/>
      <c r="W500" s="5"/>
      <c r="X500" s="5"/>
      <c r="Y500" s="5"/>
      <c r="BY500" s="5"/>
      <c r="BZ500" s="5"/>
      <c r="CA500" s="5"/>
      <c r="CB500" s="5"/>
      <c r="CC500" s="5"/>
    </row>
    <row r="501" spans="22:81" x14ac:dyDescent="0.25">
      <c r="V501" s="5"/>
      <c r="W501" s="5"/>
      <c r="X501" s="5"/>
      <c r="Y501" s="5"/>
      <c r="BY501" s="5"/>
      <c r="BZ501" s="5"/>
      <c r="CA501" s="5"/>
      <c r="CB501" s="5"/>
      <c r="CC501" s="5"/>
    </row>
    <row r="502" spans="22:81" x14ac:dyDescent="0.25">
      <c r="V502" s="5"/>
      <c r="W502" s="5"/>
      <c r="X502" s="5"/>
      <c r="Y502" s="5"/>
      <c r="BY502" s="5"/>
      <c r="BZ502" s="5"/>
      <c r="CA502" s="5"/>
      <c r="CB502" s="5"/>
      <c r="CC502" s="5"/>
    </row>
    <row r="503" spans="22:81" x14ac:dyDescent="0.25">
      <c r="V503" s="5"/>
      <c r="W503" s="5"/>
      <c r="X503" s="5"/>
      <c r="Y503" s="5"/>
      <c r="BY503" s="5"/>
      <c r="BZ503" s="5"/>
      <c r="CA503" s="5"/>
      <c r="CB503" s="5"/>
      <c r="CC503" s="5"/>
    </row>
    <row r="504" spans="22:81" x14ac:dyDescent="0.25">
      <c r="V504" s="5"/>
      <c r="W504" s="5"/>
      <c r="X504" s="5"/>
      <c r="Y504" s="5"/>
      <c r="BY504" s="5"/>
      <c r="BZ504" s="5"/>
      <c r="CA504" s="5"/>
      <c r="CB504" s="5"/>
      <c r="CC504" s="5"/>
    </row>
    <row r="505" spans="22:81" x14ac:dyDescent="0.25">
      <c r="V505" s="5"/>
      <c r="W505" s="5"/>
      <c r="X505" s="5"/>
      <c r="Y505" s="5"/>
      <c r="BY505" s="5"/>
      <c r="BZ505" s="5"/>
      <c r="CA505" s="5"/>
      <c r="CB505" s="5"/>
      <c r="CC505" s="5"/>
    </row>
    <row r="506" spans="22:81" x14ac:dyDescent="0.25">
      <c r="V506" s="5"/>
      <c r="W506" s="5"/>
      <c r="X506" s="5"/>
      <c r="Y506" s="5"/>
      <c r="BY506" s="5"/>
      <c r="BZ506" s="5"/>
      <c r="CA506" s="5"/>
      <c r="CB506" s="5"/>
      <c r="CC506" s="5"/>
    </row>
    <row r="507" spans="22:81" x14ac:dyDescent="0.25">
      <c r="V507" s="5"/>
      <c r="W507" s="5"/>
      <c r="X507" s="5"/>
      <c r="Y507" s="5"/>
      <c r="BY507" s="5"/>
      <c r="BZ507" s="5"/>
      <c r="CA507" s="5"/>
      <c r="CB507" s="5"/>
      <c r="CC507" s="5"/>
    </row>
    <row r="508" spans="22:81" x14ac:dyDescent="0.25">
      <c r="V508" s="5"/>
      <c r="W508" s="5"/>
      <c r="X508" s="5"/>
      <c r="Y508" s="5"/>
      <c r="BY508" s="5"/>
      <c r="BZ508" s="5"/>
      <c r="CA508" s="5"/>
      <c r="CB508" s="5"/>
      <c r="CC508" s="5"/>
    </row>
    <row r="509" spans="22:81" x14ac:dyDescent="0.25">
      <c r="V509" s="5"/>
      <c r="W509" s="5"/>
      <c r="X509" s="5"/>
      <c r="Y509" s="5"/>
      <c r="BY509" s="5"/>
      <c r="BZ509" s="5"/>
      <c r="CA509" s="5"/>
      <c r="CB509" s="5"/>
      <c r="CC509" s="5"/>
    </row>
    <row r="510" spans="22:81" x14ac:dyDescent="0.25">
      <c r="V510" s="5"/>
      <c r="W510" s="5"/>
      <c r="X510" s="5"/>
      <c r="Y510" s="5"/>
      <c r="BY510" s="5"/>
      <c r="BZ510" s="5"/>
      <c r="CA510" s="5"/>
      <c r="CB510" s="5"/>
      <c r="CC510" s="5"/>
    </row>
    <row r="511" spans="22:81" x14ac:dyDescent="0.25">
      <c r="V511" s="5"/>
      <c r="W511" s="5"/>
      <c r="X511" s="5"/>
      <c r="Y511" s="5"/>
      <c r="BY511" s="5"/>
      <c r="BZ511" s="5"/>
      <c r="CA511" s="5"/>
      <c r="CB511" s="5"/>
      <c r="CC511" s="5"/>
    </row>
    <row r="512" spans="22:81" x14ac:dyDescent="0.25">
      <c r="V512" s="5"/>
      <c r="W512" s="5"/>
      <c r="X512" s="5"/>
      <c r="Y512" s="5"/>
      <c r="BY512" s="5"/>
      <c r="BZ512" s="5"/>
      <c r="CA512" s="5"/>
      <c r="CB512" s="5"/>
      <c r="CC512" s="5"/>
    </row>
    <row r="513" spans="22:81" x14ac:dyDescent="0.25">
      <c r="V513" s="5"/>
      <c r="W513" s="5"/>
      <c r="X513" s="5"/>
      <c r="Y513" s="5"/>
      <c r="BY513" s="5"/>
      <c r="BZ513" s="5"/>
      <c r="CA513" s="5"/>
      <c r="CB513" s="5"/>
      <c r="CC513" s="5"/>
    </row>
    <row r="514" spans="22:81" x14ac:dyDescent="0.25">
      <c r="V514" s="5"/>
      <c r="W514" s="5"/>
      <c r="X514" s="5"/>
      <c r="Y514" s="5"/>
      <c r="BY514" s="5"/>
      <c r="BZ514" s="5"/>
      <c r="CA514" s="5"/>
      <c r="CB514" s="5"/>
      <c r="CC514" s="5"/>
    </row>
    <row r="515" spans="22:81" x14ac:dyDescent="0.25">
      <c r="V515" s="5"/>
      <c r="W515" s="5"/>
      <c r="X515" s="5"/>
      <c r="Y515" s="5"/>
      <c r="BY515" s="5"/>
      <c r="BZ515" s="5"/>
      <c r="CA515" s="5"/>
      <c r="CB515" s="5"/>
      <c r="CC515" s="5"/>
    </row>
    <row r="516" spans="22:81" x14ac:dyDescent="0.25">
      <c r="V516" s="5"/>
      <c r="W516" s="5"/>
      <c r="X516" s="5"/>
      <c r="Y516" s="5"/>
      <c r="BY516" s="5"/>
      <c r="BZ516" s="5"/>
      <c r="CA516" s="5"/>
      <c r="CB516" s="5"/>
      <c r="CC516" s="5"/>
    </row>
    <row r="517" spans="22:81" x14ac:dyDescent="0.25">
      <c r="V517" s="5"/>
      <c r="W517" s="5"/>
      <c r="X517" s="5"/>
      <c r="Y517" s="5"/>
      <c r="BY517" s="5"/>
      <c r="BZ517" s="5"/>
      <c r="CA517" s="5"/>
      <c r="CB517" s="5"/>
      <c r="CC517" s="5"/>
    </row>
    <row r="518" spans="22:81" x14ac:dyDescent="0.25">
      <c r="V518" s="5"/>
      <c r="W518" s="5"/>
      <c r="X518" s="5"/>
      <c r="Y518" s="5"/>
      <c r="BY518" s="5"/>
      <c r="BZ518" s="5"/>
      <c r="CA518" s="5"/>
      <c r="CB518" s="5"/>
      <c r="CC518" s="5"/>
    </row>
    <row r="519" spans="22:81" x14ac:dyDescent="0.25">
      <c r="V519" s="5"/>
      <c r="W519" s="5"/>
      <c r="X519" s="5"/>
      <c r="Y519" s="5"/>
      <c r="BY519" s="5"/>
      <c r="BZ519" s="5"/>
      <c r="CA519" s="5"/>
      <c r="CB519" s="5"/>
      <c r="CC519" s="5"/>
    </row>
    <row r="520" spans="22:81" x14ac:dyDescent="0.25">
      <c r="V520" s="5"/>
      <c r="W520" s="5"/>
      <c r="X520" s="5"/>
      <c r="Y520" s="5"/>
      <c r="BY520" s="5"/>
      <c r="BZ520" s="5"/>
      <c r="CA520" s="5"/>
      <c r="CB520" s="5"/>
      <c r="CC520" s="5"/>
    </row>
    <row r="521" spans="22:81" x14ac:dyDescent="0.25">
      <c r="V521" s="5"/>
      <c r="W521" s="5"/>
      <c r="X521" s="5"/>
      <c r="Y521" s="5"/>
      <c r="BY521" s="5"/>
      <c r="BZ521" s="5"/>
      <c r="CA521" s="5"/>
      <c r="CB521" s="5"/>
      <c r="CC521" s="5"/>
    </row>
    <row r="522" spans="22:81" x14ac:dyDescent="0.25">
      <c r="V522" s="5"/>
      <c r="W522" s="5"/>
      <c r="X522" s="5"/>
      <c r="Y522" s="5"/>
      <c r="BY522" s="5"/>
      <c r="BZ522" s="5"/>
      <c r="CA522" s="5"/>
      <c r="CB522" s="5"/>
      <c r="CC522" s="5"/>
    </row>
    <row r="523" spans="22:81" x14ac:dyDescent="0.25">
      <c r="V523" s="5"/>
      <c r="W523" s="5"/>
      <c r="X523" s="5"/>
      <c r="Y523" s="5"/>
      <c r="BY523" s="5"/>
      <c r="BZ523" s="5"/>
      <c r="CA523" s="5"/>
      <c r="CB523" s="5"/>
      <c r="CC523" s="5"/>
    </row>
    <row r="524" spans="22:81" x14ac:dyDescent="0.25">
      <c r="V524" s="5"/>
      <c r="W524" s="5"/>
      <c r="X524" s="5"/>
      <c r="Y524" s="5"/>
      <c r="BY524" s="5"/>
      <c r="BZ524" s="5"/>
      <c r="CA524" s="5"/>
      <c r="CB524" s="5"/>
      <c r="CC524" s="5"/>
    </row>
    <row r="525" spans="22:81" x14ac:dyDescent="0.25">
      <c r="V525" s="5"/>
      <c r="W525" s="5"/>
      <c r="X525" s="5"/>
      <c r="Y525" s="5"/>
      <c r="BY525" s="5"/>
      <c r="BZ525" s="5"/>
      <c r="CA525" s="5"/>
      <c r="CB525" s="5"/>
      <c r="CC525" s="5"/>
    </row>
    <row r="526" spans="22:81" x14ac:dyDescent="0.25">
      <c r="V526" s="5"/>
      <c r="W526" s="5"/>
      <c r="X526" s="5"/>
      <c r="Y526" s="5"/>
      <c r="BY526" s="5"/>
      <c r="BZ526" s="5"/>
      <c r="CA526" s="5"/>
      <c r="CB526" s="5"/>
      <c r="CC526" s="5"/>
    </row>
    <row r="527" spans="22:81" x14ac:dyDescent="0.25">
      <c r="V527" s="5"/>
      <c r="W527" s="5"/>
      <c r="X527" s="5"/>
      <c r="Y527" s="5"/>
      <c r="BY527" s="5"/>
      <c r="BZ527" s="5"/>
      <c r="CA527" s="5"/>
      <c r="CB527" s="5"/>
      <c r="CC527" s="5"/>
    </row>
    <row r="528" spans="22:81" x14ac:dyDescent="0.25">
      <c r="V528" s="5"/>
      <c r="W528" s="5"/>
      <c r="X528" s="5"/>
      <c r="Y528" s="5"/>
      <c r="BY528" s="5"/>
      <c r="BZ528" s="5"/>
      <c r="CA528" s="5"/>
      <c r="CB528" s="5"/>
      <c r="CC528" s="5"/>
    </row>
    <row r="529" spans="22:81" x14ac:dyDescent="0.25">
      <c r="V529" s="5"/>
      <c r="W529" s="5"/>
      <c r="X529" s="5"/>
      <c r="Y529" s="5"/>
      <c r="BY529" s="5"/>
      <c r="BZ529" s="5"/>
      <c r="CA529" s="5"/>
      <c r="CB529" s="5"/>
      <c r="CC529" s="5"/>
    </row>
    <row r="530" spans="22:81" x14ac:dyDescent="0.25">
      <c r="V530" s="5"/>
      <c r="W530" s="5"/>
      <c r="X530" s="5"/>
      <c r="Y530" s="5"/>
      <c r="BY530" s="5"/>
      <c r="BZ530" s="5"/>
      <c r="CA530" s="5"/>
      <c r="CB530" s="5"/>
      <c r="CC530" s="5"/>
    </row>
    <row r="531" spans="22:81" x14ac:dyDescent="0.25">
      <c r="V531" s="5"/>
      <c r="W531" s="5"/>
      <c r="X531" s="5"/>
      <c r="Y531" s="5"/>
      <c r="BY531" s="5"/>
      <c r="BZ531" s="5"/>
      <c r="CA531" s="5"/>
      <c r="CB531" s="5"/>
      <c r="CC531" s="5"/>
    </row>
    <row r="532" spans="22:81" x14ac:dyDescent="0.25">
      <c r="V532" s="5"/>
      <c r="W532" s="5"/>
      <c r="X532" s="5"/>
      <c r="Y532" s="5"/>
      <c r="BY532" s="5"/>
      <c r="BZ532" s="5"/>
      <c r="CA532" s="5"/>
      <c r="CB532" s="5"/>
      <c r="CC532" s="5"/>
    </row>
    <row r="533" spans="22:81" x14ac:dyDescent="0.25">
      <c r="V533" s="5"/>
      <c r="W533" s="5"/>
      <c r="X533" s="5"/>
      <c r="Y533" s="5"/>
      <c r="BY533" s="5"/>
      <c r="BZ533" s="5"/>
      <c r="CA533" s="5"/>
      <c r="CB533" s="5"/>
      <c r="CC533" s="5"/>
    </row>
    <row r="534" spans="22:81" x14ac:dyDescent="0.25">
      <c r="V534" s="5"/>
      <c r="W534" s="5"/>
      <c r="X534" s="5"/>
      <c r="Y534" s="5"/>
      <c r="BY534" s="5"/>
      <c r="BZ534" s="5"/>
      <c r="CA534" s="5"/>
      <c r="CB534" s="5"/>
      <c r="CC534" s="5"/>
    </row>
    <row r="535" spans="22:81" x14ac:dyDescent="0.25">
      <c r="V535" s="5"/>
      <c r="W535" s="5"/>
      <c r="X535" s="5"/>
      <c r="Y535" s="5"/>
      <c r="BY535" s="5"/>
      <c r="BZ535" s="5"/>
      <c r="CA535" s="5"/>
      <c r="CB535" s="5"/>
      <c r="CC535" s="5"/>
    </row>
    <row r="536" spans="22:81" x14ac:dyDescent="0.25">
      <c r="V536" s="5"/>
      <c r="W536" s="5"/>
      <c r="X536" s="5"/>
      <c r="Y536" s="5"/>
      <c r="BY536" s="5"/>
      <c r="BZ536" s="5"/>
      <c r="CA536" s="5"/>
      <c r="CB536" s="5"/>
      <c r="CC536" s="5"/>
    </row>
    <row r="537" spans="22:81" x14ac:dyDescent="0.25">
      <c r="V537" s="5"/>
      <c r="W537" s="5"/>
      <c r="X537" s="5"/>
      <c r="Y537" s="5"/>
      <c r="BY537" s="5"/>
      <c r="BZ537" s="5"/>
      <c r="CA537" s="5"/>
      <c r="CB537" s="5"/>
      <c r="CC537" s="5"/>
    </row>
    <row r="538" spans="22:81" x14ac:dyDescent="0.25">
      <c r="V538" s="5"/>
      <c r="W538" s="5"/>
      <c r="X538" s="5"/>
      <c r="Y538" s="5"/>
      <c r="BY538" s="5"/>
      <c r="BZ538" s="5"/>
      <c r="CA538" s="5"/>
      <c r="CB538" s="5"/>
      <c r="CC538" s="5"/>
    </row>
    <row r="539" spans="22:81" x14ac:dyDescent="0.25">
      <c r="V539" s="5"/>
      <c r="W539" s="5"/>
      <c r="X539" s="5"/>
      <c r="Y539" s="5"/>
      <c r="BY539" s="5"/>
      <c r="BZ539" s="5"/>
      <c r="CA539" s="5"/>
      <c r="CB539" s="5"/>
      <c r="CC539" s="5"/>
    </row>
    <row r="540" spans="22:81" x14ac:dyDescent="0.25">
      <c r="V540" s="5"/>
      <c r="W540" s="5"/>
      <c r="X540" s="5"/>
      <c r="Y540" s="5"/>
      <c r="BY540" s="5"/>
      <c r="BZ540" s="5"/>
      <c r="CA540" s="5"/>
      <c r="CB540" s="5"/>
      <c r="CC540" s="5"/>
    </row>
    <row r="541" spans="22:81" x14ac:dyDescent="0.25">
      <c r="V541" s="5"/>
      <c r="W541" s="5"/>
      <c r="X541" s="5"/>
      <c r="Y541" s="5"/>
      <c r="BY541" s="5"/>
      <c r="BZ541" s="5"/>
      <c r="CA541" s="5"/>
      <c r="CB541" s="5"/>
      <c r="CC541" s="5"/>
    </row>
    <row r="542" spans="22:81" x14ac:dyDescent="0.25">
      <c r="V542" s="5"/>
      <c r="W542" s="5"/>
      <c r="X542" s="5"/>
      <c r="Y542" s="5"/>
      <c r="BY542" s="5"/>
      <c r="BZ542" s="5"/>
      <c r="CA542" s="5"/>
      <c r="CB542" s="5"/>
      <c r="CC542" s="5"/>
    </row>
    <row r="543" spans="22:81" x14ac:dyDescent="0.25">
      <c r="V543" s="5"/>
      <c r="W543" s="5"/>
      <c r="X543" s="5"/>
      <c r="Y543" s="5"/>
      <c r="BY543" s="5"/>
      <c r="BZ543" s="5"/>
      <c r="CA543" s="5"/>
      <c r="CB543" s="5"/>
      <c r="CC543" s="5"/>
    </row>
    <row r="544" spans="22:81" x14ac:dyDescent="0.25">
      <c r="V544" s="5"/>
      <c r="W544" s="5"/>
      <c r="X544" s="5"/>
      <c r="Y544" s="5"/>
      <c r="BY544" s="5"/>
      <c r="BZ544" s="5"/>
      <c r="CA544" s="5"/>
      <c r="CB544" s="5"/>
      <c r="CC544" s="5"/>
    </row>
    <row r="545" spans="22:81" x14ac:dyDescent="0.25">
      <c r="V545" s="5"/>
      <c r="W545" s="5"/>
      <c r="X545" s="5"/>
      <c r="Y545" s="5"/>
      <c r="BY545" s="5"/>
      <c r="BZ545" s="5"/>
      <c r="CA545" s="5"/>
      <c r="CB545" s="5"/>
      <c r="CC545" s="5"/>
    </row>
    <row r="546" spans="22:81" x14ac:dyDescent="0.25">
      <c r="V546" s="5"/>
      <c r="W546" s="5"/>
      <c r="X546" s="5"/>
      <c r="Y546" s="5"/>
      <c r="BY546" s="5"/>
      <c r="BZ546" s="5"/>
      <c r="CA546" s="5"/>
      <c r="CB546" s="5"/>
      <c r="CC546" s="5"/>
    </row>
    <row r="547" spans="22:81" x14ac:dyDescent="0.25">
      <c r="V547" s="5"/>
      <c r="W547" s="5"/>
      <c r="X547" s="5"/>
      <c r="Y547" s="5"/>
      <c r="BY547" s="5"/>
      <c r="BZ547" s="5"/>
      <c r="CA547" s="5"/>
      <c r="CB547" s="5"/>
      <c r="CC547" s="5"/>
    </row>
    <row r="548" spans="22:81" x14ac:dyDescent="0.25">
      <c r="V548" s="5"/>
      <c r="W548" s="5"/>
      <c r="X548" s="5"/>
      <c r="Y548" s="5"/>
      <c r="BY548" s="5"/>
      <c r="BZ548" s="5"/>
      <c r="CA548" s="5"/>
      <c r="CB548" s="5"/>
      <c r="CC548" s="5"/>
    </row>
    <row r="549" spans="22:81" x14ac:dyDescent="0.25">
      <c r="V549" s="5"/>
      <c r="W549" s="5"/>
      <c r="X549" s="5"/>
      <c r="Y549" s="5"/>
      <c r="BY549" s="5"/>
      <c r="BZ549" s="5"/>
      <c r="CA549" s="5"/>
      <c r="CB549" s="5"/>
      <c r="CC549" s="5"/>
    </row>
    <row r="550" spans="22:81" x14ac:dyDescent="0.25">
      <c r="V550" s="5"/>
      <c r="W550" s="5"/>
      <c r="X550" s="5"/>
      <c r="Y550" s="5"/>
      <c r="BY550" s="5"/>
      <c r="BZ550" s="5"/>
      <c r="CA550" s="5"/>
      <c r="CB550" s="5"/>
      <c r="CC550" s="5"/>
    </row>
    <row r="551" spans="22:81" x14ac:dyDescent="0.25">
      <c r="V551" s="5"/>
      <c r="W551" s="5"/>
      <c r="X551" s="5"/>
      <c r="Y551" s="5"/>
      <c r="BY551" s="5"/>
      <c r="BZ551" s="5"/>
      <c r="CA551" s="5"/>
      <c r="CB551" s="5"/>
      <c r="CC551" s="5"/>
    </row>
    <row r="552" spans="22:81" x14ac:dyDescent="0.25">
      <c r="V552" s="5"/>
      <c r="W552" s="5"/>
      <c r="X552" s="5"/>
      <c r="Y552" s="5"/>
      <c r="BY552" s="5"/>
      <c r="BZ552" s="5"/>
      <c r="CA552" s="5"/>
      <c r="CB552" s="5"/>
      <c r="CC552" s="5"/>
    </row>
    <row r="553" spans="22:81" x14ac:dyDescent="0.25">
      <c r="V553" s="5"/>
      <c r="W553" s="5"/>
      <c r="X553" s="5"/>
      <c r="Y553" s="5"/>
      <c r="BY553" s="5"/>
      <c r="BZ553" s="5"/>
      <c r="CA553" s="5"/>
      <c r="CB553" s="5"/>
      <c r="CC553" s="5"/>
    </row>
    <row r="554" spans="22:81" x14ac:dyDescent="0.25">
      <c r="V554" s="5"/>
      <c r="W554" s="5"/>
      <c r="X554" s="5"/>
      <c r="Y554" s="5"/>
      <c r="BY554" s="5"/>
      <c r="BZ554" s="5"/>
      <c r="CA554" s="5"/>
      <c r="CB554" s="5"/>
      <c r="CC554" s="5"/>
    </row>
    <row r="555" spans="22:81" x14ac:dyDescent="0.25">
      <c r="V555" s="5"/>
      <c r="W555" s="5"/>
      <c r="X555" s="5"/>
      <c r="Y555" s="5"/>
      <c r="BY555" s="5"/>
      <c r="BZ555" s="5"/>
      <c r="CA555" s="5"/>
      <c r="CB555" s="5"/>
      <c r="CC555" s="5"/>
    </row>
    <row r="556" spans="22:81" x14ac:dyDescent="0.25">
      <c r="V556" s="5"/>
      <c r="W556" s="5"/>
      <c r="X556" s="5"/>
      <c r="Y556" s="5"/>
      <c r="BY556" s="5"/>
      <c r="BZ556" s="5"/>
      <c r="CA556" s="5"/>
      <c r="CB556" s="5"/>
      <c r="CC556" s="5"/>
    </row>
    <row r="557" spans="22:81" x14ac:dyDescent="0.25">
      <c r="V557" s="5"/>
      <c r="W557" s="5"/>
      <c r="X557" s="5"/>
      <c r="Y557" s="5"/>
      <c r="BY557" s="5"/>
      <c r="BZ557" s="5"/>
      <c r="CA557" s="5"/>
      <c r="CB557" s="5"/>
      <c r="CC557" s="5"/>
    </row>
    <row r="558" spans="22:81" x14ac:dyDescent="0.25">
      <c r="V558" s="5"/>
      <c r="W558" s="5"/>
      <c r="X558" s="5"/>
      <c r="Y558" s="5"/>
      <c r="BY558" s="5"/>
      <c r="BZ558" s="5"/>
      <c r="CA558" s="5"/>
      <c r="CB558" s="5"/>
      <c r="CC558" s="5"/>
    </row>
    <row r="559" spans="22:81" x14ac:dyDescent="0.25">
      <c r="V559" s="5"/>
      <c r="W559" s="5"/>
      <c r="X559" s="5"/>
      <c r="Y559" s="5"/>
      <c r="BY559" s="5"/>
      <c r="BZ559" s="5"/>
      <c r="CA559" s="5"/>
      <c r="CB559" s="5"/>
      <c r="CC559" s="5"/>
    </row>
    <row r="560" spans="22:81" x14ac:dyDescent="0.25">
      <c r="V560" s="5"/>
      <c r="W560" s="5"/>
      <c r="X560" s="5"/>
      <c r="Y560" s="5"/>
      <c r="BY560" s="5"/>
      <c r="BZ560" s="5"/>
      <c r="CA560" s="5"/>
      <c r="CB560" s="5"/>
      <c r="CC560" s="5"/>
    </row>
    <row r="561" spans="22:81" x14ac:dyDescent="0.25">
      <c r="V561" s="5"/>
      <c r="W561" s="5"/>
      <c r="X561" s="5"/>
      <c r="Y561" s="5"/>
      <c r="BY561" s="5"/>
      <c r="BZ561" s="5"/>
      <c r="CA561" s="5"/>
      <c r="CB561" s="5"/>
      <c r="CC561" s="5"/>
    </row>
    <row r="562" spans="22:81" x14ac:dyDescent="0.25">
      <c r="V562" s="5"/>
      <c r="W562" s="5"/>
      <c r="X562" s="5"/>
      <c r="Y562" s="5"/>
      <c r="BY562" s="5"/>
      <c r="BZ562" s="5"/>
      <c r="CA562" s="5"/>
      <c r="CB562" s="5"/>
      <c r="CC562" s="5"/>
    </row>
    <row r="563" spans="22:81" x14ac:dyDescent="0.25">
      <c r="V563" s="5"/>
      <c r="W563" s="5"/>
      <c r="X563" s="5"/>
      <c r="Y563" s="5"/>
      <c r="BY563" s="5"/>
      <c r="BZ563" s="5"/>
      <c r="CA563" s="5"/>
      <c r="CB563" s="5"/>
      <c r="CC563" s="5"/>
    </row>
    <row r="564" spans="22:81" x14ac:dyDescent="0.25">
      <c r="V564" s="5"/>
      <c r="W564" s="5"/>
      <c r="X564" s="5"/>
      <c r="Y564" s="5"/>
      <c r="BY564" s="5"/>
      <c r="BZ564" s="5"/>
      <c r="CA564" s="5"/>
      <c r="CB564" s="5"/>
      <c r="CC564" s="5"/>
    </row>
    <row r="565" spans="22:81" x14ac:dyDescent="0.25">
      <c r="V565" s="5"/>
      <c r="W565" s="5"/>
      <c r="X565" s="5"/>
      <c r="Y565" s="5"/>
      <c r="BY565" s="5"/>
      <c r="BZ565" s="5"/>
      <c r="CA565" s="5"/>
      <c r="CB565" s="5"/>
      <c r="CC565" s="5"/>
    </row>
    <row r="566" spans="22:81" x14ac:dyDescent="0.25">
      <c r="V566" s="5"/>
      <c r="W566" s="5"/>
      <c r="X566" s="5"/>
      <c r="Y566" s="5"/>
      <c r="BY566" s="5"/>
      <c r="BZ566" s="5"/>
      <c r="CA566" s="5"/>
      <c r="CB566" s="5"/>
      <c r="CC566" s="5"/>
    </row>
    <row r="567" spans="22:81" x14ac:dyDescent="0.25">
      <c r="V567" s="5"/>
      <c r="W567" s="5"/>
      <c r="X567" s="5"/>
      <c r="Y567" s="5"/>
      <c r="BY567" s="5"/>
      <c r="BZ567" s="5"/>
      <c r="CA567" s="5"/>
      <c r="CB567" s="5"/>
      <c r="CC567" s="5"/>
    </row>
    <row r="568" spans="22:81" x14ac:dyDescent="0.25">
      <c r="V568" s="5"/>
      <c r="W568" s="5"/>
      <c r="X568" s="5"/>
      <c r="Y568" s="5"/>
      <c r="BY568" s="5"/>
      <c r="BZ568" s="5"/>
      <c r="CA568" s="5"/>
      <c r="CB568" s="5"/>
      <c r="CC568" s="5"/>
    </row>
    <row r="569" spans="22:81" x14ac:dyDescent="0.25">
      <c r="V569" s="5"/>
      <c r="W569" s="5"/>
      <c r="X569" s="5"/>
      <c r="Y569" s="5"/>
      <c r="BY569" s="5"/>
      <c r="BZ569" s="5"/>
      <c r="CA569" s="5"/>
      <c r="CB569" s="5"/>
      <c r="CC569" s="5"/>
    </row>
    <row r="570" spans="22:81" x14ac:dyDescent="0.25">
      <c r="V570" s="5"/>
      <c r="W570" s="5"/>
      <c r="X570" s="5"/>
      <c r="Y570" s="5"/>
      <c r="BY570" s="5"/>
      <c r="BZ570" s="5"/>
      <c r="CA570" s="5"/>
      <c r="CB570" s="5"/>
      <c r="CC570" s="5"/>
    </row>
    <row r="571" spans="22:81" x14ac:dyDescent="0.25">
      <c r="V571" s="5"/>
      <c r="W571" s="5"/>
      <c r="X571" s="5"/>
      <c r="Y571" s="5"/>
      <c r="BY571" s="5"/>
      <c r="BZ571" s="5"/>
      <c r="CA571" s="5"/>
      <c r="CB571" s="5"/>
      <c r="CC571" s="5"/>
    </row>
    <row r="572" spans="22:81" x14ac:dyDescent="0.25">
      <c r="V572" s="5"/>
      <c r="W572" s="5"/>
      <c r="X572" s="5"/>
      <c r="Y572" s="5"/>
      <c r="BY572" s="5"/>
      <c r="BZ572" s="5"/>
      <c r="CA572" s="5"/>
      <c r="CB572" s="5"/>
      <c r="CC572" s="5"/>
    </row>
    <row r="573" spans="22:81" x14ac:dyDescent="0.25">
      <c r="V573" s="5"/>
      <c r="W573" s="5"/>
      <c r="X573" s="5"/>
      <c r="Y573" s="5"/>
      <c r="BY573" s="5"/>
      <c r="BZ573" s="5"/>
      <c r="CA573" s="5"/>
      <c r="CB573" s="5"/>
      <c r="CC573" s="5"/>
    </row>
    <row r="574" spans="22:81" x14ac:dyDescent="0.25">
      <c r="V574" s="5"/>
      <c r="W574" s="5"/>
      <c r="X574" s="5"/>
      <c r="Y574" s="5"/>
      <c r="BY574" s="5"/>
      <c r="BZ574" s="5"/>
      <c r="CA574" s="5"/>
      <c r="CB574" s="5"/>
      <c r="CC574" s="5"/>
    </row>
    <row r="575" spans="22:81" x14ac:dyDescent="0.25">
      <c r="V575" s="5"/>
      <c r="W575" s="5"/>
      <c r="X575" s="5"/>
      <c r="Y575" s="5"/>
      <c r="BY575" s="5"/>
      <c r="BZ575" s="5"/>
      <c r="CA575" s="5"/>
      <c r="CB575" s="5"/>
      <c r="CC575" s="5"/>
    </row>
    <row r="576" spans="22:81" x14ac:dyDescent="0.25">
      <c r="V576" s="5"/>
      <c r="W576" s="5"/>
      <c r="X576" s="5"/>
      <c r="Y576" s="5"/>
      <c r="BY576" s="5"/>
      <c r="BZ576" s="5"/>
      <c r="CA576" s="5"/>
      <c r="CB576" s="5"/>
      <c r="CC576" s="5"/>
    </row>
    <row r="577" spans="22:81" x14ac:dyDescent="0.25">
      <c r="V577" s="5"/>
      <c r="W577" s="5"/>
      <c r="X577" s="5"/>
      <c r="Y577" s="5"/>
      <c r="BY577" s="5"/>
      <c r="BZ577" s="5"/>
      <c r="CA577" s="5"/>
      <c r="CB577" s="5"/>
      <c r="CC577" s="5"/>
    </row>
    <row r="578" spans="22:81" x14ac:dyDescent="0.25">
      <c r="V578" s="5"/>
      <c r="W578" s="5"/>
      <c r="X578" s="5"/>
      <c r="Y578" s="5"/>
      <c r="BY578" s="5"/>
      <c r="BZ578" s="5"/>
      <c r="CA578" s="5"/>
      <c r="CB578" s="5"/>
      <c r="CC578" s="5"/>
    </row>
    <row r="579" spans="22:81" x14ac:dyDescent="0.25">
      <c r="V579" s="5"/>
      <c r="W579" s="5"/>
      <c r="X579" s="5"/>
      <c r="Y579" s="5"/>
      <c r="BY579" s="5"/>
      <c r="BZ579" s="5"/>
      <c r="CA579" s="5"/>
      <c r="CB579" s="5"/>
      <c r="CC579" s="5"/>
    </row>
    <row r="580" spans="22:81" x14ac:dyDescent="0.25">
      <c r="V580" s="5"/>
      <c r="W580" s="5"/>
      <c r="X580" s="5"/>
      <c r="Y580" s="5"/>
      <c r="BY580" s="5"/>
      <c r="BZ580" s="5"/>
      <c r="CA580" s="5"/>
      <c r="CB580" s="5"/>
      <c r="CC580" s="5"/>
    </row>
    <row r="581" spans="22:81" x14ac:dyDescent="0.25">
      <c r="V581" s="5"/>
      <c r="W581" s="5"/>
      <c r="X581" s="5"/>
      <c r="Y581" s="5"/>
      <c r="BY581" s="5"/>
      <c r="BZ581" s="5"/>
      <c r="CA581" s="5"/>
      <c r="CB581" s="5"/>
      <c r="CC581" s="5"/>
    </row>
    <row r="582" spans="22:81" x14ac:dyDescent="0.25">
      <c r="V582" s="5"/>
      <c r="W582" s="5"/>
      <c r="X582" s="5"/>
      <c r="Y582" s="5"/>
      <c r="BY582" s="5"/>
      <c r="BZ582" s="5"/>
      <c r="CA582" s="5"/>
      <c r="CB582" s="5"/>
      <c r="CC582" s="5"/>
    </row>
    <row r="583" spans="22:81" x14ac:dyDescent="0.25">
      <c r="V583" s="5"/>
      <c r="W583" s="5"/>
      <c r="X583" s="5"/>
      <c r="Y583" s="5"/>
      <c r="BY583" s="5"/>
      <c r="BZ583" s="5"/>
      <c r="CA583" s="5"/>
      <c r="CB583" s="5"/>
      <c r="CC583" s="5"/>
    </row>
    <row r="584" spans="22:81" x14ac:dyDescent="0.25">
      <c r="V584" s="5"/>
      <c r="W584" s="5"/>
      <c r="X584" s="5"/>
      <c r="Y584" s="5"/>
      <c r="BY584" s="5"/>
      <c r="BZ584" s="5"/>
      <c r="CA584" s="5"/>
      <c r="CB584" s="5"/>
      <c r="CC584" s="5"/>
    </row>
    <row r="585" spans="22:81" x14ac:dyDescent="0.25">
      <c r="V585" s="5"/>
      <c r="W585" s="5"/>
      <c r="X585" s="5"/>
      <c r="Y585" s="5"/>
      <c r="BY585" s="5"/>
      <c r="BZ585" s="5"/>
      <c r="CA585" s="5"/>
      <c r="CB585" s="5"/>
      <c r="CC585" s="5"/>
    </row>
    <row r="586" spans="22:81" x14ac:dyDescent="0.25">
      <c r="V586" s="5"/>
      <c r="W586" s="5"/>
      <c r="X586" s="5"/>
      <c r="Y586" s="5"/>
      <c r="BY586" s="5"/>
      <c r="BZ586" s="5"/>
      <c r="CA586" s="5"/>
      <c r="CB586" s="5"/>
      <c r="CC586" s="5"/>
    </row>
    <row r="587" spans="22:81" x14ac:dyDescent="0.25">
      <c r="V587" s="5"/>
      <c r="W587" s="5"/>
      <c r="X587" s="5"/>
      <c r="Y587" s="5"/>
      <c r="BY587" s="5"/>
      <c r="BZ587" s="5"/>
      <c r="CA587" s="5"/>
      <c r="CB587" s="5"/>
      <c r="CC587" s="5"/>
    </row>
    <row r="588" spans="22:81" x14ac:dyDescent="0.25">
      <c r="V588" s="5"/>
      <c r="W588" s="5"/>
      <c r="X588" s="5"/>
      <c r="Y588" s="5"/>
      <c r="BY588" s="5"/>
      <c r="BZ588" s="5"/>
      <c r="CA588" s="5"/>
      <c r="CB588" s="5"/>
      <c r="CC588" s="5"/>
    </row>
    <row r="589" spans="22:81" x14ac:dyDescent="0.25">
      <c r="V589" s="5"/>
      <c r="W589" s="5"/>
      <c r="X589" s="5"/>
      <c r="Y589" s="5"/>
      <c r="BY589" s="5"/>
      <c r="BZ589" s="5"/>
      <c r="CA589" s="5"/>
      <c r="CB589" s="5"/>
      <c r="CC589" s="5"/>
    </row>
    <row r="590" spans="22:81" x14ac:dyDescent="0.25">
      <c r="V590" s="5"/>
      <c r="W590" s="5"/>
      <c r="X590" s="5"/>
      <c r="Y590" s="5"/>
      <c r="BY590" s="5"/>
      <c r="BZ590" s="5"/>
      <c r="CA590" s="5"/>
      <c r="CB590" s="5"/>
      <c r="CC590" s="5"/>
    </row>
    <row r="591" spans="22:81" x14ac:dyDescent="0.25">
      <c r="V591" s="5"/>
      <c r="W591" s="5"/>
      <c r="X591" s="5"/>
      <c r="Y591" s="5"/>
      <c r="BY591" s="5"/>
      <c r="BZ591" s="5"/>
      <c r="CA591" s="5"/>
      <c r="CB591" s="5"/>
      <c r="CC591" s="5"/>
    </row>
    <row r="592" spans="22:81" x14ac:dyDescent="0.25">
      <c r="V592" s="5"/>
      <c r="W592" s="5"/>
      <c r="X592" s="5"/>
      <c r="Y592" s="5"/>
      <c r="BY592" s="5"/>
      <c r="BZ592" s="5"/>
      <c r="CA592" s="5"/>
      <c r="CB592" s="5"/>
      <c r="CC592" s="5"/>
    </row>
    <row r="593" spans="22:81" x14ac:dyDescent="0.25">
      <c r="V593" s="5"/>
      <c r="W593" s="5"/>
      <c r="X593" s="5"/>
      <c r="Y593" s="5"/>
      <c r="BY593" s="5"/>
      <c r="BZ593" s="5"/>
      <c r="CA593" s="5"/>
      <c r="CB593" s="5"/>
      <c r="CC593" s="5"/>
    </row>
    <row r="594" spans="22:81" x14ac:dyDescent="0.25">
      <c r="V594" s="5"/>
      <c r="W594" s="5"/>
      <c r="X594" s="5"/>
      <c r="Y594" s="5"/>
      <c r="BY594" s="5"/>
      <c r="BZ594" s="5"/>
      <c r="CA594" s="5"/>
      <c r="CB594" s="5"/>
      <c r="CC594" s="5"/>
    </row>
    <row r="595" spans="22:81" x14ac:dyDescent="0.25">
      <c r="V595" s="5"/>
      <c r="W595" s="5"/>
      <c r="X595" s="5"/>
      <c r="Y595" s="5"/>
      <c r="BY595" s="5"/>
      <c r="BZ595" s="5"/>
      <c r="CA595" s="5"/>
      <c r="CB595" s="5"/>
      <c r="CC595" s="5"/>
    </row>
    <row r="596" spans="22:81" x14ac:dyDescent="0.25">
      <c r="V596" s="5"/>
      <c r="W596" s="5"/>
      <c r="X596" s="5"/>
      <c r="Y596" s="5"/>
      <c r="BY596" s="5"/>
      <c r="BZ596" s="5"/>
      <c r="CA596" s="5"/>
      <c r="CB596" s="5"/>
      <c r="CC596" s="5"/>
    </row>
    <row r="597" spans="22:81" x14ac:dyDescent="0.25">
      <c r="V597" s="5"/>
      <c r="W597" s="5"/>
      <c r="X597" s="5"/>
      <c r="Y597" s="5"/>
      <c r="BY597" s="5"/>
      <c r="BZ597" s="5"/>
      <c r="CA597" s="5"/>
      <c r="CB597" s="5"/>
      <c r="CC597" s="5"/>
    </row>
    <row r="598" spans="22:81" x14ac:dyDescent="0.25">
      <c r="V598" s="5"/>
      <c r="W598" s="5"/>
      <c r="X598" s="5"/>
      <c r="Y598" s="5"/>
      <c r="BY598" s="5"/>
      <c r="BZ598" s="5"/>
      <c r="CA598" s="5"/>
      <c r="CB598" s="5"/>
      <c r="CC598" s="5"/>
    </row>
    <row r="599" spans="22:81" x14ac:dyDescent="0.25">
      <c r="V599" s="5"/>
      <c r="W599" s="5"/>
      <c r="X599" s="5"/>
      <c r="Y599" s="5"/>
      <c r="BY599" s="5"/>
      <c r="BZ599" s="5"/>
      <c r="CA599" s="5"/>
      <c r="CB599" s="5"/>
      <c r="CC599" s="5"/>
    </row>
  </sheetData>
  <autoFilter ref="BO1:BO599" xr:uid="{00000000-0001-0000-0100-000000000000}"/>
  <mergeCells count="9">
    <mergeCell ref="L6:N6"/>
    <mergeCell ref="AK6:AM6"/>
    <mergeCell ref="BO5:BQ5"/>
    <mergeCell ref="BT5:BV5"/>
    <mergeCell ref="BE5:BG5"/>
    <mergeCell ref="BJ5:BL5"/>
    <mergeCell ref="AP5:AR5"/>
    <mergeCell ref="AZ5:BB5"/>
    <mergeCell ref="AU5:AW5"/>
  </mergeCells>
  <pageMargins left="0.45" right="0" top="0.25" bottom="0.25" header="0.3" footer="0"/>
  <pageSetup scale="70" orientation="landscape" r:id="rId1"/>
  <headerFooter>
    <oddFooter>&amp;CPage &amp;P of &amp;N</oddFooter>
  </headerFooter>
  <colBreaks count="3" manualBreakCount="3">
    <brk id="20" max="1048575" man="1"/>
    <brk id="35" max="1048575" man="1"/>
    <brk id="75" max="70"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AJ54"/>
  <sheetViews>
    <sheetView zoomScaleNormal="100" workbookViewId="0">
      <pane xSplit="2" ySplit="8" topLeftCell="C42" activePane="bottomRight" state="frozen"/>
      <selection pane="topRight" activeCell="C1" sqref="C1"/>
      <selection pane="bottomLeft" activeCell="A9" sqref="A9"/>
      <selection pane="bottomRight" activeCell="K48" sqref="K48"/>
    </sheetView>
  </sheetViews>
  <sheetFormatPr defaultRowHeight="13.2" x14ac:dyDescent="0.25"/>
  <cols>
    <col min="1" max="1" width="9.6640625" style="29" customWidth="1"/>
    <col min="2" max="2" width="3.6640625" customWidth="1"/>
    <col min="3" max="6" width="13.6640625" style="3" customWidth="1"/>
    <col min="7" max="7" width="3.6640625" customWidth="1"/>
    <col min="8" max="11" width="13.6640625" style="5" customWidth="1"/>
    <col min="12" max="12" width="3.6640625" style="5" customWidth="1"/>
    <col min="13" max="14" width="12.6640625" style="5" customWidth="1"/>
    <col min="15" max="16" width="14.5546875" style="5" customWidth="1"/>
    <col min="17" max="17" width="2.33203125" style="5" customWidth="1"/>
    <col min="18" max="21" width="13.6640625" style="5" customWidth="1"/>
    <col min="22" max="22" width="3.6640625" style="5" customWidth="1"/>
    <col min="23" max="26" width="13.6640625" style="5" customWidth="1"/>
    <col min="27" max="27" width="3.6640625" style="5" customWidth="1"/>
    <col min="28" max="29" width="12.6640625" style="5" customWidth="1"/>
    <col min="30" max="31" width="13.6640625" style="5" customWidth="1"/>
    <col min="32" max="32" width="3.6640625" style="5" customWidth="1"/>
    <col min="33" max="34" width="12.6640625" style="5" customWidth="1"/>
    <col min="35" max="35" width="14.109375" style="5" customWidth="1"/>
    <col min="36" max="36" width="11" customWidth="1"/>
  </cols>
  <sheetData>
    <row r="1" spans="1:36" x14ac:dyDescent="0.25">
      <c r="A1" s="1"/>
      <c r="B1" s="2"/>
      <c r="H1" s="4" t="s">
        <v>27</v>
      </c>
      <c r="R1" s="4"/>
      <c r="X1" s="4" t="s">
        <v>27</v>
      </c>
    </row>
    <row r="2" spans="1:36" x14ac:dyDescent="0.25">
      <c r="A2" s="1"/>
      <c r="B2" s="2"/>
      <c r="H2" s="4" t="s">
        <v>26</v>
      </c>
      <c r="R2" s="4"/>
      <c r="X2" s="4" t="s">
        <v>26</v>
      </c>
      <c r="AB2" s="4"/>
    </row>
    <row r="3" spans="1:36" x14ac:dyDescent="0.25">
      <c r="A3" s="1"/>
      <c r="B3" s="2"/>
      <c r="H3" s="62" t="s">
        <v>112</v>
      </c>
      <c r="R3" s="62"/>
      <c r="X3" s="62" t="s">
        <v>112</v>
      </c>
      <c r="AB3" s="62"/>
    </row>
    <row r="4" spans="1:36" x14ac:dyDescent="0.25">
      <c r="A4" s="1"/>
      <c r="B4" s="2"/>
      <c r="C4" s="4"/>
      <c r="D4" s="4"/>
    </row>
    <row r="5" spans="1:36" x14ac:dyDescent="0.25">
      <c r="A5" s="9" t="s">
        <v>0</v>
      </c>
      <c r="C5" s="63" t="s">
        <v>118</v>
      </c>
      <c r="D5" s="10"/>
      <c r="E5" s="11"/>
      <c r="F5" s="386"/>
      <c r="H5" s="164" t="s">
        <v>166</v>
      </c>
      <c r="I5" s="165"/>
      <c r="J5" s="159"/>
      <c r="K5" s="392"/>
      <c r="M5" s="57" t="s">
        <v>637</v>
      </c>
      <c r="N5" s="13"/>
      <c r="O5" s="14"/>
      <c r="P5" s="3"/>
      <c r="R5" s="373" t="s">
        <v>64</v>
      </c>
      <c r="S5" s="13"/>
      <c r="T5" s="33"/>
      <c r="U5" s="3"/>
      <c r="W5" s="34" t="s">
        <v>65</v>
      </c>
      <c r="X5" s="13"/>
      <c r="Y5" s="14"/>
      <c r="Z5" s="3"/>
      <c r="AB5" s="58" t="s">
        <v>66</v>
      </c>
      <c r="AC5" s="13"/>
      <c r="AD5" s="14"/>
      <c r="AE5" s="3"/>
      <c r="AG5" s="34" t="s">
        <v>98</v>
      </c>
      <c r="AH5" s="13"/>
      <c r="AI5" s="14"/>
      <c r="AJ5" s="3"/>
    </row>
    <row r="6" spans="1:36" x14ac:dyDescent="0.25">
      <c r="A6" s="19" t="s">
        <v>1</v>
      </c>
      <c r="B6" s="8"/>
      <c r="C6" s="318" t="s">
        <v>117</v>
      </c>
      <c r="D6" s="319"/>
      <c r="E6" s="319"/>
      <c r="F6" s="26" t="s">
        <v>639</v>
      </c>
      <c r="H6" s="20"/>
      <c r="I6" s="21"/>
      <c r="J6" s="79">
        <f>+O6+T6+Y6+AD6+AI6</f>
        <v>0.10272817725000001</v>
      </c>
      <c r="K6" s="26" t="s">
        <v>639</v>
      </c>
      <c r="M6" s="35"/>
      <c r="N6" s="8"/>
      <c r="O6" s="22">
        <v>4.0518843500000006E-2</v>
      </c>
      <c r="P6" s="26" t="s">
        <v>639</v>
      </c>
      <c r="R6" s="372"/>
      <c r="S6" s="8"/>
      <c r="T6" s="374">
        <v>2.0068269750000006E-2</v>
      </c>
      <c r="U6" s="26" t="s">
        <v>639</v>
      </c>
      <c r="W6" s="35"/>
      <c r="X6" s="8"/>
      <c r="Y6" s="22">
        <v>3.4997030749999998E-2</v>
      </c>
      <c r="Z6" s="26" t="s">
        <v>639</v>
      </c>
      <c r="AB6" s="35"/>
      <c r="AC6" s="21"/>
      <c r="AD6" s="22">
        <v>7.036425000000001E-5</v>
      </c>
      <c r="AE6" s="26" t="s">
        <v>639</v>
      </c>
      <c r="AG6" s="35"/>
      <c r="AH6" s="21"/>
      <c r="AI6" s="22">
        <v>7.0736690000000012E-3</v>
      </c>
      <c r="AJ6" s="26" t="s">
        <v>639</v>
      </c>
    </row>
    <row r="7" spans="1:36" x14ac:dyDescent="0.25">
      <c r="A7" s="19"/>
      <c r="B7" s="8"/>
      <c r="C7" s="13"/>
      <c r="D7" s="13"/>
      <c r="E7" s="33"/>
      <c r="F7" s="26" t="s">
        <v>640</v>
      </c>
      <c r="H7" s="20">
        <f>+M7+R7+W7+AB7+AG7</f>
        <v>0.16198777674999998</v>
      </c>
      <c r="I7" s="21">
        <f>+N7+S7+X7+AC7+AH7</f>
        <v>0.17492710714793394</v>
      </c>
      <c r="J7" s="79"/>
      <c r="K7" s="26" t="s">
        <v>640</v>
      </c>
      <c r="M7" s="371">
        <v>7.7894640499999987E-2</v>
      </c>
      <c r="N7" s="117">
        <v>9.0945709868632735E-2</v>
      </c>
      <c r="O7" s="22"/>
      <c r="P7" s="26" t="s">
        <v>640</v>
      </c>
      <c r="R7" s="371">
        <v>2.6467195750000002E-2</v>
      </c>
      <c r="S7" s="117">
        <v>2.6432027395693471E-2</v>
      </c>
      <c r="T7" s="22"/>
      <c r="U7" s="26" t="s">
        <v>640</v>
      </c>
      <c r="W7" s="371">
        <v>4.3839915749999986E-2</v>
      </c>
      <c r="X7" s="117">
        <v>4.3781663349389523E-2</v>
      </c>
      <c r="Y7" s="22"/>
      <c r="Z7" s="26" t="s">
        <v>640</v>
      </c>
      <c r="AB7" s="371">
        <v>1.8342247500000002E-3</v>
      </c>
      <c r="AC7" s="109">
        <v>1.8317875191541215E-3</v>
      </c>
      <c r="AD7" s="22"/>
      <c r="AE7" s="26" t="s">
        <v>640</v>
      </c>
      <c r="AG7" s="371">
        <v>1.19518E-2</v>
      </c>
      <c r="AH7" s="109">
        <v>1.1935919015064118E-2</v>
      </c>
      <c r="AI7" s="22"/>
      <c r="AJ7" s="26" t="s">
        <v>640</v>
      </c>
    </row>
    <row r="8" spans="1:36" x14ac:dyDescent="0.25">
      <c r="A8" s="25"/>
      <c r="C8" s="60" t="s">
        <v>2</v>
      </c>
      <c r="D8" s="26" t="s">
        <v>3</v>
      </c>
      <c r="E8" s="26" t="s">
        <v>4</v>
      </c>
      <c r="F8" s="26" t="s">
        <v>4</v>
      </c>
      <c r="H8" s="26" t="s">
        <v>2</v>
      </c>
      <c r="I8" s="26" t="s">
        <v>3</v>
      </c>
      <c r="J8" s="26" t="s">
        <v>4</v>
      </c>
      <c r="K8" s="26" t="s">
        <v>4</v>
      </c>
      <c r="M8" s="26" t="s">
        <v>2</v>
      </c>
      <c r="N8" s="26" t="s">
        <v>3</v>
      </c>
      <c r="O8" s="26" t="s">
        <v>4</v>
      </c>
      <c r="P8" s="26" t="s">
        <v>4</v>
      </c>
      <c r="R8" s="26" t="s">
        <v>2</v>
      </c>
      <c r="S8" s="26" t="s">
        <v>3</v>
      </c>
      <c r="T8" s="26" t="s">
        <v>4</v>
      </c>
      <c r="U8" s="26" t="s">
        <v>4</v>
      </c>
      <c r="W8" s="26" t="s">
        <v>2</v>
      </c>
      <c r="X8" s="26" t="s">
        <v>3</v>
      </c>
      <c r="Y8" s="26" t="s">
        <v>4</v>
      </c>
      <c r="Z8" s="26" t="s">
        <v>4</v>
      </c>
      <c r="AB8" s="26" t="s">
        <v>2</v>
      </c>
      <c r="AC8" s="26" t="s">
        <v>3</v>
      </c>
      <c r="AD8" s="26" t="s">
        <v>4</v>
      </c>
      <c r="AE8" s="26" t="s">
        <v>4</v>
      </c>
      <c r="AG8" s="26" t="s">
        <v>2</v>
      </c>
      <c r="AH8" s="26" t="s">
        <v>3</v>
      </c>
      <c r="AI8" s="26" t="s">
        <v>4</v>
      </c>
      <c r="AJ8" s="26" t="s">
        <v>4</v>
      </c>
    </row>
    <row r="9" spans="1:36" x14ac:dyDescent="0.25">
      <c r="A9" s="29">
        <v>45200</v>
      </c>
      <c r="D9" s="3">
        <v>660450</v>
      </c>
      <c r="E9" s="3">
        <f t="shared" ref="E9:E46" si="0">C9+D9</f>
        <v>660450</v>
      </c>
      <c r="F9" s="3">
        <f>112831-11</f>
        <v>112820</v>
      </c>
      <c r="I9" s="5">
        <f>+N9+S9+X9+AC9+AH9</f>
        <v>67846.82466476252</v>
      </c>
      <c r="J9" s="5">
        <f>H9+I9</f>
        <v>67846.82466476252</v>
      </c>
      <c r="K9" s="5">
        <f>+P9+U9+Z9+AE9+AJ9</f>
        <v>11589.792957345002</v>
      </c>
      <c r="N9" s="5">
        <f>D9*O6</f>
        <v>26760.670189575005</v>
      </c>
      <c r="O9" s="5">
        <f>M9+N9</f>
        <v>26760.670189575005</v>
      </c>
      <c r="P9" s="5">
        <f>O$6*$F9</f>
        <v>4571.3359236700007</v>
      </c>
      <c r="S9" s="5">
        <f>D9*T6</f>
        <v>13254.088756387504</v>
      </c>
      <c r="T9" s="5">
        <f>R9+S9</f>
        <v>13254.088756387504</v>
      </c>
      <c r="U9" s="5">
        <f>T$6*$F9</f>
        <v>2264.1021931950008</v>
      </c>
      <c r="X9" s="5">
        <f>D9*Y6</f>
        <v>23113.7889588375</v>
      </c>
      <c r="Y9" s="5">
        <f>W9+X9</f>
        <v>23113.7889588375</v>
      </c>
      <c r="Z9" s="5">
        <f>Y$6*$F9</f>
        <v>3948.3650092149996</v>
      </c>
      <c r="AC9" s="5">
        <f>D9*AD6</f>
        <v>46.472068912500006</v>
      </c>
      <c r="AD9" s="5">
        <f>AB9+AC9</f>
        <v>46.472068912500006</v>
      </c>
      <c r="AE9" s="5">
        <f>AD$6*$F9</f>
        <v>7.9384946850000011</v>
      </c>
      <c r="AH9" s="5">
        <f>D9*AI6</f>
        <v>4671.8046910500007</v>
      </c>
      <c r="AI9" s="5">
        <f>AG9+AH9</f>
        <v>4671.8046910500007</v>
      </c>
      <c r="AJ9" s="5">
        <f>AI$6*$F9</f>
        <v>798.05133658000011</v>
      </c>
    </row>
    <row r="10" spans="1:36" x14ac:dyDescent="0.25">
      <c r="A10" s="29">
        <v>45383</v>
      </c>
      <c r="C10" s="3">
        <v>1195000</v>
      </c>
      <c r="D10" s="3">
        <v>660450</v>
      </c>
      <c r="E10" s="3">
        <f t="shared" si="0"/>
        <v>1855450</v>
      </c>
      <c r="F10" s="3">
        <v>112831</v>
      </c>
      <c r="H10" s="5">
        <f>+M10+R10+W10+AB10+AG10</f>
        <v>193575.39321625</v>
      </c>
      <c r="I10" s="5">
        <f t="shared" ref="I10:K46" si="1">+N10+S10+X10+AC10+AH10</f>
        <v>106984.82715453749</v>
      </c>
      <c r="J10" s="5">
        <f>H10+I10</f>
        <v>300560.22037078749</v>
      </c>
      <c r="K10" s="5">
        <f t="shared" si="1"/>
        <v>18277.242838479247</v>
      </c>
      <c r="M10" s="5">
        <f>C10*$M$7</f>
        <v>93084.095397499987</v>
      </c>
      <c r="N10" s="5">
        <f>D10*$M$7</f>
        <v>51445.515318224992</v>
      </c>
      <c r="O10" s="5">
        <f>M10+N10</f>
        <v>144529.61071572499</v>
      </c>
      <c r="P10" s="5">
        <f>M$7*$F10</f>
        <v>8788.9301822554989</v>
      </c>
      <c r="R10" s="5">
        <f>C10*$R$7</f>
        <v>31628.298921250003</v>
      </c>
      <c r="S10" s="5">
        <f>D10*$R$7</f>
        <v>17480.2594330875</v>
      </c>
      <c r="T10" s="5">
        <f>R10+S10</f>
        <v>49108.558354337503</v>
      </c>
      <c r="U10" s="5">
        <f>R$7*$F10</f>
        <v>2986.3201636682502</v>
      </c>
      <c r="W10" s="5">
        <f>C10*$W$7</f>
        <v>52388.69932124998</v>
      </c>
      <c r="X10" s="5">
        <f>D10*$W$7</f>
        <v>28954.072357087491</v>
      </c>
      <c r="Y10" s="5">
        <f>W10+X10</f>
        <v>81342.771678337478</v>
      </c>
      <c r="Z10" s="5">
        <f>W$7*$F10</f>
        <v>4946.5015339882484</v>
      </c>
      <c r="AB10" s="5">
        <f>C10*$AB$7</f>
        <v>2191.8985762500001</v>
      </c>
      <c r="AC10" s="5">
        <f>D10*$AB$7</f>
        <v>1211.4137361375001</v>
      </c>
      <c r="AD10" s="5">
        <f>AB10+AC10</f>
        <v>3403.3123123875002</v>
      </c>
      <c r="AE10" s="5">
        <f>AB$7*$F10</f>
        <v>206.95741276725002</v>
      </c>
      <c r="AG10" s="5">
        <f>C10*$AG$7</f>
        <v>14282.401</v>
      </c>
      <c r="AH10" s="5">
        <f>D10*$AG$7</f>
        <v>7893.5663100000002</v>
      </c>
      <c r="AI10" s="5">
        <f>AG10+AH10</f>
        <v>22175.96731</v>
      </c>
      <c r="AJ10" s="5">
        <f>AG$7*$F10</f>
        <v>1348.5335458</v>
      </c>
    </row>
    <row r="11" spans="1:36" x14ac:dyDescent="0.25">
      <c r="A11" s="29">
        <v>45566</v>
      </c>
      <c r="D11" s="3">
        <v>630575</v>
      </c>
      <c r="E11" s="3">
        <f t="shared" si="0"/>
        <v>630575</v>
      </c>
      <c r="F11" s="3">
        <v>112831</v>
      </c>
      <c r="I11" s="5">
        <f t="shared" si="1"/>
        <v>110304.66058980847</v>
      </c>
      <c r="J11" s="5">
        <f t="shared" ref="J11:J46" si="2">H11+I11</f>
        <v>110304.66058980847</v>
      </c>
      <c r="K11" s="5">
        <f t="shared" si="1"/>
        <v>19737.200426608535</v>
      </c>
      <c r="N11" s="5">
        <f>D11*$N$7</f>
        <v>57348.091000413086</v>
      </c>
      <c r="O11" s="5">
        <f>M11+N11</f>
        <v>57348.091000413086</v>
      </c>
      <c r="P11" s="5">
        <f>N$7*$F11</f>
        <v>10261.4953901877</v>
      </c>
      <c r="S11" s="5">
        <f>D11*$S$7</f>
        <v>16667.37567503941</v>
      </c>
      <c r="T11" s="5">
        <f>R11+S11</f>
        <v>16667.37567503941</v>
      </c>
      <c r="U11" s="5">
        <f>S$7*$F11</f>
        <v>2982.35208308349</v>
      </c>
      <c r="X11" s="5">
        <f>D11*$X$7</f>
        <v>27607.622366541298</v>
      </c>
      <c r="Y11" s="5">
        <f>W11+X11</f>
        <v>27607.622366541298</v>
      </c>
      <c r="Z11" s="5">
        <f>X$7*$F11</f>
        <v>4939.9288573749691</v>
      </c>
      <c r="AC11" s="5">
        <f>D11*$AC$7</f>
        <v>1155.0794148906102</v>
      </c>
      <c r="AD11" s="5">
        <f>AB11+AC11</f>
        <v>1155.0794148906102</v>
      </c>
      <c r="AE11" s="5">
        <f>AC$7*$F11</f>
        <v>206.68241757367869</v>
      </c>
      <c r="AH11" s="5">
        <f>D11*$AH$7</f>
        <v>7526.492132924056</v>
      </c>
      <c r="AI11" s="5">
        <f>AG11+AH11</f>
        <v>7526.492132924056</v>
      </c>
      <c r="AJ11" s="5">
        <f>AH$7*$F11</f>
        <v>1346.7416783886995</v>
      </c>
    </row>
    <row r="12" spans="1:36" x14ac:dyDescent="0.25">
      <c r="A12" s="29">
        <v>45748</v>
      </c>
      <c r="C12" s="3">
        <v>1255000</v>
      </c>
      <c r="D12" s="3">
        <v>630575</v>
      </c>
      <c r="E12" s="3">
        <f t="shared" si="0"/>
        <v>1885575</v>
      </c>
      <c r="F12" s="3">
        <v>112831</v>
      </c>
      <c r="H12" s="5">
        <f>+M12+R12+W12+AB12+AG12</f>
        <v>219533.51947065711</v>
      </c>
      <c r="I12" s="5">
        <f t="shared" si="1"/>
        <v>110304.66058980847</v>
      </c>
      <c r="J12" s="5">
        <f t="shared" si="2"/>
        <v>329838.18006046559</v>
      </c>
      <c r="K12" s="5">
        <f t="shared" si="1"/>
        <v>19737.200426608535</v>
      </c>
      <c r="M12" s="5">
        <f>C12*$N$7</f>
        <v>114136.86588513409</v>
      </c>
      <c r="N12" s="5">
        <f>D12*$N$7</f>
        <v>57348.091000413086</v>
      </c>
      <c r="O12" s="5">
        <f t="shared" ref="O12:O46" si="3">M12+N12</f>
        <v>171484.95688554717</v>
      </c>
      <c r="P12" s="5">
        <f t="shared" ref="P12:P46" si="4">N$7*$F12</f>
        <v>10261.4953901877</v>
      </c>
      <c r="R12" s="5">
        <f>C12*$S$7</f>
        <v>33172.194381595305</v>
      </c>
      <c r="S12" s="5">
        <f>D12*$S$7</f>
        <v>16667.37567503941</v>
      </c>
      <c r="T12" s="5">
        <f t="shared" ref="T12:T46" si="5">R12+S12</f>
        <v>49839.570056634715</v>
      </c>
      <c r="U12" s="5">
        <f t="shared" ref="U12:U46" si="6">S$7*$F12</f>
        <v>2982.35208308349</v>
      </c>
      <c r="W12" s="5">
        <f>C12*$X$7</f>
        <v>54945.987503483848</v>
      </c>
      <c r="X12" s="5">
        <f>D12*$X$7</f>
        <v>27607.622366541298</v>
      </c>
      <c r="Y12" s="5">
        <f t="shared" ref="Y12:Y46" si="7">W12+X12</f>
        <v>82553.609870025146</v>
      </c>
      <c r="Z12" s="5">
        <f t="shared" ref="Z12:Z46" si="8">X$7*$F12</f>
        <v>4939.9288573749691</v>
      </c>
      <c r="AB12" s="5">
        <f>C12*$AC$7</f>
        <v>2298.8933365384223</v>
      </c>
      <c r="AC12" s="5">
        <f>D12*$AC$7</f>
        <v>1155.0794148906102</v>
      </c>
      <c r="AD12" s="5">
        <f t="shared" ref="AD12:AD46" si="9">AB12+AC12</f>
        <v>3453.9727514290325</v>
      </c>
      <c r="AE12" s="5">
        <f t="shared" ref="AE12:AE46" si="10">AC$7*$F12</f>
        <v>206.68241757367869</v>
      </c>
      <c r="AG12" s="5">
        <f>C12*$AH$7</f>
        <v>14979.578363905468</v>
      </c>
      <c r="AH12" s="5">
        <f>D12*$AH$7</f>
        <v>7526.492132924056</v>
      </c>
      <c r="AI12" s="5">
        <f t="shared" ref="AI12:AI46" si="11">AG12+AH12</f>
        <v>22506.070496829525</v>
      </c>
      <c r="AJ12" s="5">
        <f t="shared" ref="AJ12:AJ46" si="12">AH$7*$F12</f>
        <v>1346.7416783886995</v>
      </c>
    </row>
    <row r="13" spans="1:36" x14ac:dyDescent="0.25">
      <c r="A13" s="29">
        <v>45931</v>
      </c>
      <c r="D13" s="3">
        <v>599200</v>
      </c>
      <c r="E13" s="3">
        <f t="shared" si="0"/>
        <v>599200</v>
      </c>
      <c r="F13" s="3">
        <v>112831</v>
      </c>
      <c r="I13" s="5">
        <f t="shared" si="1"/>
        <v>104816.32260304203</v>
      </c>
      <c r="J13" s="5">
        <f t="shared" si="2"/>
        <v>104816.32260304203</v>
      </c>
      <c r="K13" s="5">
        <f t="shared" si="1"/>
        <v>19737.200426608535</v>
      </c>
      <c r="N13" s="5">
        <f>D13*$N$7</f>
        <v>54494.669353284735</v>
      </c>
      <c r="O13" s="5">
        <f t="shared" si="3"/>
        <v>54494.669353284735</v>
      </c>
      <c r="P13" s="5">
        <f t="shared" si="4"/>
        <v>10261.4953901877</v>
      </c>
      <c r="S13" s="5">
        <f t="shared" ref="S13:S46" si="13">D13*$S$7</f>
        <v>15838.070815499528</v>
      </c>
      <c r="T13" s="5">
        <f t="shared" si="5"/>
        <v>15838.070815499528</v>
      </c>
      <c r="U13" s="5">
        <f t="shared" si="6"/>
        <v>2982.35208308349</v>
      </c>
      <c r="X13" s="5">
        <f t="shared" ref="X13:X46" si="14">D13*$X$7</f>
        <v>26233.972678954204</v>
      </c>
      <c r="Y13" s="5">
        <f t="shared" si="7"/>
        <v>26233.972678954204</v>
      </c>
      <c r="Z13" s="5">
        <f t="shared" si="8"/>
        <v>4939.9288573749691</v>
      </c>
      <c r="AC13" s="5">
        <f t="shared" ref="AC13:AC46" si="15">D13*$AC$7</f>
        <v>1097.6070814771497</v>
      </c>
      <c r="AD13" s="5">
        <f t="shared" si="9"/>
        <v>1097.6070814771497</v>
      </c>
      <c r="AE13" s="5">
        <f t="shared" si="10"/>
        <v>206.68241757367869</v>
      </c>
      <c r="AH13" s="5">
        <f t="shared" ref="AH13:AH46" si="16">D13*$AH$7</f>
        <v>7152.0026738264196</v>
      </c>
      <c r="AI13" s="5">
        <f t="shared" si="11"/>
        <v>7152.0026738264196</v>
      </c>
      <c r="AJ13" s="5">
        <f t="shared" si="12"/>
        <v>1346.7416783886995</v>
      </c>
    </row>
    <row r="14" spans="1:36" x14ac:dyDescent="0.25">
      <c r="A14" s="29">
        <v>46113</v>
      </c>
      <c r="C14" s="3">
        <v>1320000</v>
      </c>
      <c r="D14" s="3">
        <v>599200</v>
      </c>
      <c r="E14" s="3">
        <f t="shared" si="0"/>
        <v>1919200</v>
      </c>
      <c r="F14" s="3">
        <v>112831</v>
      </c>
      <c r="H14" s="5">
        <f>+M14+R14+W14+AB14+AG14</f>
        <v>230903.78143527283</v>
      </c>
      <c r="I14" s="5">
        <f t="shared" si="1"/>
        <v>104816.32260304203</v>
      </c>
      <c r="J14" s="5">
        <f t="shared" si="2"/>
        <v>335720.10403831489</v>
      </c>
      <c r="K14" s="5">
        <f t="shared" si="1"/>
        <v>19737.200426608535</v>
      </c>
      <c r="M14" s="5">
        <f>C14*$N$7</f>
        <v>120048.33702659521</v>
      </c>
      <c r="N14" s="5">
        <f>D14*$N$7</f>
        <v>54494.669353284735</v>
      </c>
      <c r="O14" s="5">
        <f t="shared" si="3"/>
        <v>174543.00637987995</v>
      </c>
      <c r="P14" s="5">
        <f t="shared" si="4"/>
        <v>10261.4953901877</v>
      </c>
      <c r="R14" s="5">
        <f>C14*$S$7</f>
        <v>34890.276162315386</v>
      </c>
      <c r="S14" s="5">
        <f>D14*$S$7</f>
        <v>15838.070815499528</v>
      </c>
      <c r="T14" s="5">
        <f t="shared" si="5"/>
        <v>50728.346977814916</v>
      </c>
      <c r="U14" s="5">
        <f t="shared" si="6"/>
        <v>2982.35208308349</v>
      </c>
      <c r="W14" s="5">
        <f>C14*$X$7</f>
        <v>57791.795621194171</v>
      </c>
      <c r="X14" s="5">
        <f>D14*$X$7</f>
        <v>26233.972678954204</v>
      </c>
      <c r="Y14" s="5">
        <f t="shared" si="7"/>
        <v>84025.768300148367</v>
      </c>
      <c r="Z14" s="5">
        <f t="shared" si="8"/>
        <v>4939.9288573749691</v>
      </c>
      <c r="AB14" s="5">
        <f>C14*$AC$7</f>
        <v>2417.9595252834401</v>
      </c>
      <c r="AC14" s="5">
        <f>D14*$AC$7</f>
        <v>1097.6070814771497</v>
      </c>
      <c r="AD14" s="5">
        <f t="shared" si="9"/>
        <v>3515.5666067605898</v>
      </c>
      <c r="AE14" s="5">
        <f t="shared" si="10"/>
        <v>206.68241757367869</v>
      </c>
      <c r="AG14" s="5">
        <f>C14*$AH$7</f>
        <v>15755.413099884636</v>
      </c>
      <c r="AH14" s="5">
        <f>D14*$AH$7</f>
        <v>7152.0026738264196</v>
      </c>
      <c r="AI14" s="5">
        <f t="shared" si="11"/>
        <v>22907.415773711054</v>
      </c>
      <c r="AJ14" s="5">
        <f t="shared" si="12"/>
        <v>1346.7416783886995</v>
      </c>
    </row>
    <row r="15" spans="1:36" x14ac:dyDescent="0.25">
      <c r="A15" s="29">
        <v>46296</v>
      </c>
      <c r="D15" s="3">
        <v>566200</v>
      </c>
      <c r="E15" s="3">
        <f t="shared" si="0"/>
        <v>566200</v>
      </c>
      <c r="F15" s="3">
        <v>112831</v>
      </c>
      <c r="I15" s="5">
        <f t="shared" si="1"/>
        <v>99043.72806716022</v>
      </c>
      <c r="J15" s="5">
        <f t="shared" si="2"/>
        <v>99043.72806716022</v>
      </c>
      <c r="K15" s="5">
        <f t="shared" si="1"/>
        <v>19737.200426608535</v>
      </c>
      <c r="N15" s="5">
        <f t="shared" ref="N15:N46" si="17">D15*$N$7</f>
        <v>51493.460927619853</v>
      </c>
      <c r="O15" s="5">
        <f t="shared" si="3"/>
        <v>51493.460927619853</v>
      </c>
      <c r="P15" s="5">
        <f t="shared" si="4"/>
        <v>10261.4953901877</v>
      </c>
      <c r="S15" s="5">
        <f>D15*$S$7</f>
        <v>14965.813911441643</v>
      </c>
      <c r="T15" s="5">
        <f t="shared" si="5"/>
        <v>14965.813911441643</v>
      </c>
      <c r="U15" s="5">
        <f t="shared" si="6"/>
        <v>2982.35208308349</v>
      </c>
      <c r="X15" s="5">
        <f t="shared" si="14"/>
        <v>24789.177788424349</v>
      </c>
      <c r="Y15" s="5">
        <f t="shared" si="7"/>
        <v>24789.177788424349</v>
      </c>
      <c r="Z15" s="5">
        <f t="shared" si="8"/>
        <v>4939.9288573749691</v>
      </c>
      <c r="AC15" s="5">
        <f t="shared" si="15"/>
        <v>1037.1580933450637</v>
      </c>
      <c r="AD15" s="5">
        <f t="shared" si="9"/>
        <v>1037.1580933450637</v>
      </c>
      <c r="AE15" s="5">
        <f t="shared" si="10"/>
        <v>206.68241757367869</v>
      </c>
      <c r="AH15" s="5">
        <f t="shared" si="16"/>
        <v>6758.1173463293035</v>
      </c>
      <c r="AI15" s="5">
        <f t="shared" si="11"/>
        <v>6758.1173463293035</v>
      </c>
      <c r="AJ15" s="5">
        <f t="shared" si="12"/>
        <v>1346.7416783886995</v>
      </c>
    </row>
    <row r="16" spans="1:36" x14ac:dyDescent="0.25">
      <c r="A16" s="29">
        <v>46478</v>
      </c>
      <c r="B16" s="30"/>
      <c r="C16" s="3">
        <v>1385000</v>
      </c>
      <c r="D16" s="3">
        <v>566200</v>
      </c>
      <c r="E16" s="3">
        <f t="shared" si="0"/>
        <v>1951200</v>
      </c>
      <c r="F16" s="3">
        <v>112831</v>
      </c>
      <c r="H16" s="5">
        <f>+M16+R16+W16+AB16+AG16</f>
        <v>242274.04339988856</v>
      </c>
      <c r="I16" s="5">
        <f t="shared" si="1"/>
        <v>99043.72806716022</v>
      </c>
      <c r="J16" s="5">
        <f t="shared" si="2"/>
        <v>341317.77146704879</v>
      </c>
      <c r="K16" s="5">
        <f t="shared" si="1"/>
        <v>19737.200426608535</v>
      </c>
      <c r="M16" s="5">
        <f t="shared" ref="M16:M46" si="18">C16*$N$7</f>
        <v>125959.80816805633</v>
      </c>
      <c r="N16" s="5">
        <f t="shared" si="17"/>
        <v>51493.460927619853</v>
      </c>
      <c r="O16" s="5">
        <f t="shared" si="3"/>
        <v>177453.26909567619</v>
      </c>
      <c r="P16" s="5">
        <f t="shared" si="4"/>
        <v>10261.4953901877</v>
      </c>
      <c r="R16" s="5">
        <f t="shared" ref="R16:R46" si="19">C16*$S$7</f>
        <v>36608.357943035458</v>
      </c>
      <c r="S16" s="5">
        <f t="shared" si="13"/>
        <v>14965.813911441643</v>
      </c>
      <c r="T16" s="5">
        <f t="shared" si="5"/>
        <v>51574.171854477099</v>
      </c>
      <c r="U16" s="5">
        <f t="shared" si="6"/>
        <v>2982.35208308349</v>
      </c>
      <c r="W16" s="5">
        <f t="shared" ref="W16:W46" si="20">C16*$X$7</f>
        <v>60637.603738904487</v>
      </c>
      <c r="X16" s="5">
        <f t="shared" si="14"/>
        <v>24789.177788424349</v>
      </c>
      <c r="Y16" s="5">
        <f t="shared" si="7"/>
        <v>85426.781527328829</v>
      </c>
      <c r="Z16" s="5">
        <f t="shared" si="8"/>
        <v>4939.9288573749691</v>
      </c>
      <c r="AB16" s="5">
        <f t="shared" ref="AB16:AB46" si="21">C16*$AC$7</f>
        <v>2537.0257140284584</v>
      </c>
      <c r="AC16" s="5">
        <f t="shared" si="15"/>
        <v>1037.1580933450637</v>
      </c>
      <c r="AD16" s="5">
        <f t="shared" si="9"/>
        <v>3574.1838073735221</v>
      </c>
      <c r="AE16" s="5">
        <f t="shared" si="10"/>
        <v>206.68241757367869</v>
      </c>
      <c r="AG16" s="5">
        <f t="shared" ref="AG16:AG46" si="22">C16*$AH$7</f>
        <v>16531.247835863804</v>
      </c>
      <c r="AH16" s="5">
        <f t="shared" si="16"/>
        <v>6758.1173463293035</v>
      </c>
      <c r="AI16" s="5">
        <f t="shared" si="11"/>
        <v>23289.365182193105</v>
      </c>
      <c r="AJ16" s="5">
        <f t="shared" si="12"/>
        <v>1346.7416783886995</v>
      </c>
    </row>
    <row r="17" spans="1:36" x14ac:dyDescent="0.25">
      <c r="A17" s="29">
        <v>46661</v>
      </c>
      <c r="D17" s="3">
        <v>531575</v>
      </c>
      <c r="E17" s="3">
        <f t="shared" si="0"/>
        <v>531575</v>
      </c>
      <c r="F17" s="3">
        <v>112831</v>
      </c>
      <c r="I17" s="5">
        <f t="shared" si="1"/>
        <v>92986.876982162998</v>
      </c>
      <c r="J17" s="5">
        <f t="shared" si="2"/>
        <v>92986.876982162998</v>
      </c>
      <c r="K17" s="5">
        <f t="shared" si="1"/>
        <v>19737.200426608535</v>
      </c>
      <c r="N17" s="5">
        <f t="shared" si="17"/>
        <v>48344.465723418449</v>
      </c>
      <c r="O17" s="5">
        <f t="shared" si="3"/>
        <v>48344.465723418449</v>
      </c>
      <c r="P17" s="5">
        <f t="shared" si="4"/>
        <v>10261.4953901877</v>
      </c>
      <c r="S17" s="5">
        <f t="shared" si="13"/>
        <v>14050.604962865757</v>
      </c>
      <c r="T17" s="5">
        <f t="shared" si="5"/>
        <v>14050.604962865757</v>
      </c>
      <c r="U17" s="5">
        <f t="shared" si="6"/>
        <v>2982.35208308349</v>
      </c>
      <c r="X17" s="5">
        <f t="shared" si="14"/>
        <v>23273.237694951735</v>
      </c>
      <c r="Y17" s="5">
        <f t="shared" si="7"/>
        <v>23273.237694951735</v>
      </c>
      <c r="Z17" s="5">
        <f t="shared" si="8"/>
        <v>4939.9288573749691</v>
      </c>
      <c r="AC17" s="5">
        <f t="shared" si="15"/>
        <v>973.73245049435207</v>
      </c>
      <c r="AD17" s="5">
        <f t="shared" si="9"/>
        <v>973.73245049435207</v>
      </c>
      <c r="AE17" s="5">
        <f t="shared" si="10"/>
        <v>206.68241757367869</v>
      </c>
      <c r="AH17" s="5">
        <f t="shared" si="16"/>
        <v>6344.8361504327086</v>
      </c>
      <c r="AI17" s="5">
        <f t="shared" si="11"/>
        <v>6344.8361504327086</v>
      </c>
      <c r="AJ17" s="5">
        <f t="shared" si="12"/>
        <v>1346.7416783886995</v>
      </c>
    </row>
    <row r="18" spans="1:36" x14ac:dyDescent="0.25">
      <c r="A18" s="29">
        <v>46844</v>
      </c>
      <c r="C18" s="3">
        <v>1455000</v>
      </c>
      <c r="D18" s="3">
        <v>531575</v>
      </c>
      <c r="E18" s="3">
        <f t="shared" si="0"/>
        <v>1986575</v>
      </c>
      <c r="F18" s="3">
        <v>112831</v>
      </c>
      <c r="H18" s="5">
        <f>+M18+R18+W18+AB18+AG18</f>
        <v>254518.94090024388</v>
      </c>
      <c r="I18" s="5">
        <f t="shared" si="1"/>
        <v>92986.876982162998</v>
      </c>
      <c r="J18" s="5">
        <f t="shared" si="2"/>
        <v>347505.81788240687</v>
      </c>
      <c r="K18" s="5">
        <f t="shared" si="1"/>
        <v>19737.200426608535</v>
      </c>
      <c r="M18" s="5">
        <f t="shared" si="18"/>
        <v>132326.00785886063</v>
      </c>
      <c r="N18" s="5">
        <f t="shared" si="17"/>
        <v>48344.465723418449</v>
      </c>
      <c r="O18" s="5">
        <f t="shared" si="3"/>
        <v>180670.47358227908</v>
      </c>
      <c r="P18" s="5">
        <f t="shared" si="4"/>
        <v>10261.4953901877</v>
      </c>
      <c r="R18" s="5">
        <f t="shared" si="19"/>
        <v>38458.599860734001</v>
      </c>
      <c r="S18" s="5">
        <f t="shared" si="13"/>
        <v>14050.604962865757</v>
      </c>
      <c r="T18" s="5">
        <f t="shared" si="5"/>
        <v>52509.204823599757</v>
      </c>
      <c r="U18" s="5">
        <f t="shared" si="6"/>
        <v>2982.35208308349</v>
      </c>
      <c r="W18" s="5">
        <f t="shared" si="20"/>
        <v>63702.320173361753</v>
      </c>
      <c r="X18" s="5">
        <f t="shared" si="14"/>
        <v>23273.237694951735</v>
      </c>
      <c r="Y18" s="5">
        <f t="shared" si="7"/>
        <v>86975.557868313481</v>
      </c>
      <c r="Z18" s="5">
        <f t="shared" si="8"/>
        <v>4939.9288573749691</v>
      </c>
      <c r="AB18" s="5">
        <f t="shared" si="21"/>
        <v>2665.2508403692468</v>
      </c>
      <c r="AC18" s="5">
        <f t="shared" si="15"/>
        <v>973.73245049435207</v>
      </c>
      <c r="AD18" s="5">
        <f t="shared" si="9"/>
        <v>3638.983290863599</v>
      </c>
      <c r="AE18" s="5">
        <f t="shared" si="10"/>
        <v>206.68241757367869</v>
      </c>
      <c r="AG18" s="5">
        <f t="shared" si="22"/>
        <v>17366.762166918292</v>
      </c>
      <c r="AH18" s="5">
        <f t="shared" si="16"/>
        <v>6344.8361504327086</v>
      </c>
      <c r="AI18" s="5">
        <f t="shared" si="11"/>
        <v>23711.598317350999</v>
      </c>
      <c r="AJ18" s="5">
        <f t="shared" si="12"/>
        <v>1346.7416783886995</v>
      </c>
    </row>
    <row r="19" spans="1:36" x14ac:dyDescent="0.25">
      <c r="A19" s="29">
        <v>47027</v>
      </c>
      <c r="D19" s="3">
        <v>495200</v>
      </c>
      <c r="E19" s="3">
        <f t="shared" si="0"/>
        <v>495200</v>
      </c>
      <c r="F19" s="3">
        <v>112831</v>
      </c>
      <c r="I19" s="5">
        <f t="shared" si="1"/>
        <v>86623.903459656911</v>
      </c>
      <c r="J19" s="5">
        <f t="shared" si="2"/>
        <v>86623.903459656911</v>
      </c>
      <c r="K19" s="5">
        <f t="shared" si="1"/>
        <v>19737.200426608535</v>
      </c>
      <c r="N19" s="5">
        <f t="shared" si="17"/>
        <v>45036.315526946928</v>
      </c>
      <c r="O19" s="5">
        <f t="shared" si="3"/>
        <v>45036.315526946928</v>
      </c>
      <c r="P19" s="5">
        <f t="shared" si="4"/>
        <v>10261.4953901877</v>
      </c>
      <c r="S19" s="5">
        <f t="shared" si="13"/>
        <v>13089.139966347408</v>
      </c>
      <c r="T19" s="5">
        <f t="shared" si="5"/>
        <v>13089.139966347408</v>
      </c>
      <c r="U19" s="5">
        <f t="shared" si="6"/>
        <v>2982.35208308349</v>
      </c>
      <c r="X19" s="5">
        <f t="shared" si="14"/>
        <v>21680.679690617693</v>
      </c>
      <c r="Y19" s="5">
        <f t="shared" si="7"/>
        <v>21680.679690617693</v>
      </c>
      <c r="Z19" s="5">
        <f t="shared" si="8"/>
        <v>4939.9288573749691</v>
      </c>
      <c r="AC19" s="5">
        <f t="shared" si="15"/>
        <v>907.10117948512095</v>
      </c>
      <c r="AD19" s="5">
        <f t="shared" si="9"/>
        <v>907.10117948512095</v>
      </c>
      <c r="AE19" s="5">
        <f t="shared" si="10"/>
        <v>206.68241757367869</v>
      </c>
      <c r="AH19" s="5">
        <f t="shared" si="16"/>
        <v>5910.6670962597509</v>
      </c>
      <c r="AI19" s="5">
        <f t="shared" si="11"/>
        <v>5910.6670962597509</v>
      </c>
      <c r="AJ19" s="5">
        <f t="shared" si="12"/>
        <v>1346.7416783886995</v>
      </c>
    </row>
    <row r="20" spans="1:36" x14ac:dyDescent="0.25">
      <c r="A20" s="29">
        <v>47209</v>
      </c>
      <c r="C20" s="3">
        <v>1525000</v>
      </c>
      <c r="D20" s="3">
        <v>495200</v>
      </c>
      <c r="E20" s="3">
        <f t="shared" si="0"/>
        <v>2020200</v>
      </c>
      <c r="F20" s="3">
        <v>112831</v>
      </c>
      <c r="H20" s="5">
        <f>+M20+R20+W20+AB20+AG20</f>
        <v>266763.83840059931</v>
      </c>
      <c r="I20" s="5">
        <f t="shared" si="1"/>
        <v>86623.903459656911</v>
      </c>
      <c r="J20" s="5">
        <f t="shared" si="2"/>
        <v>353387.74186025624</v>
      </c>
      <c r="K20" s="5">
        <f t="shared" si="1"/>
        <v>19737.200426608535</v>
      </c>
      <c r="M20" s="5">
        <f t="shared" si="18"/>
        <v>138692.20754966492</v>
      </c>
      <c r="N20" s="5">
        <f t="shared" si="17"/>
        <v>45036.315526946928</v>
      </c>
      <c r="O20" s="5">
        <f t="shared" si="3"/>
        <v>183728.52307661186</v>
      </c>
      <c r="P20" s="5">
        <f t="shared" si="4"/>
        <v>10261.4953901877</v>
      </c>
      <c r="R20" s="5">
        <f t="shared" si="19"/>
        <v>40308.841778432543</v>
      </c>
      <c r="S20" s="5">
        <f t="shared" si="13"/>
        <v>13089.139966347408</v>
      </c>
      <c r="T20" s="5">
        <f t="shared" si="5"/>
        <v>53397.981744779951</v>
      </c>
      <c r="U20" s="5">
        <f t="shared" si="6"/>
        <v>2982.35208308349</v>
      </c>
      <c r="W20" s="5">
        <f t="shared" si="20"/>
        <v>66767.036607819027</v>
      </c>
      <c r="X20" s="5">
        <f t="shared" si="14"/>
        <v>21680.679690617693</v>
      </c>
      <c r="Y20" s="5">
        <f t="shared" si="7"/>
        <v>88447.716298436717</v>
      </c>
      <c r="Z20" s="5">
        <f t="shared" si="8"/>
        <v>4939.9288573749691</v>
      </c>
      <c r="AB20" s="5">
        <f t="shared" si="21"/>
        <v>2793.4759667100352</v>
      </c>
      <c r="AC20" s="5">
        <f t="shared" si="15"/>
        <v>907.10117948512095</v>
      </c>
      <c r="AD20" s="5">
        <f t="shared" si="9"/>
        <v>3700.5771461951563</v>
      </c>
      <c r="AE20" s="5">
        <f t="shared" si="10"/>
        <v>206.68241757367869</v>
      </c>
      <c r="AG20" s="5">
        <f t="shared" si="22"/>
        <v>18202.27649797278</v>
      </c>
      <c r="AH20" s="5">
        <f t="shared" si="16"/>
        <v>5910.6670962597509</v>
      </c>
      <c r="AI20" s="5">
        <f t="shared" si="11"/>
        <v>24112.943594232529</v>
      </c>
      <c r="AJ20" s="5">
        <f t="shared" si="12"/>
        <v>1346.7416783886995</v>
      </c>
    </row>
    <row r="21" spans="1:36" x14ac:dyDescent="0.25">
      <c r="A21" s="29">
        <v>47392</v>
      </c>
      <c r="D21" s="3">
        <v>457075</v>
      </c>
      <c r="E21" s="3">
        <f t="shared" si="0"/>
        <v>457075</v>
      </c>
      <c r="F21" s="3">
        <v>112831</v>
      </c>
      <c r="I21" s="5">
        <f t="shared" si="1"/>
        <v>79954.807499641916</v>
      </c>
      <c r="J21" s="5">
        <f t="shared" si="2"/>
        <v>79954.807499641916</v>
      </c>
      <c r="K21" s="5">
        <f t="shared" si="1"/>
        <v>19737.200426608535</v>
      </c>
      <c r="N21" s="5">
        <f t="shared" si="17"/>
        <v>41569.010338205306</v>
      </c>
      <c r="O21" s="5">
        <f t="shared" si="3"/>
        <v>41569.010338205306</v>
      </c>
      <c r="P21" s="5">
        <f t="shared" si="4"/>
        <v>10261.4953901877</v>
      </c>
      <c r="S21" s="5">
        <f t="shared" si="13"/>
        <v>12081.418921886594</v>
      </c>
      <c r="T21" s="5">
        <f t="shared" si="5"/>
        <v>12081.418921886594</v>
      </c>
      <c r="U21" s="5">
        <f t="shared" si="6"/>
        <v>2982.35208308349</v>
      </c>
      <c r="X21" s="5">
        <f t="shared" si="14"/>
        <v>20011.503775422218</v>
      </c>
      <c r="Y21" s="5">
        <f t="shared" si="7"/>
        <v>20011.503775422218</v>
      </c>
      <c r="Z21" s="5">
        <f t="shared" si="8"/>
        <v>4939.9288573749691</v>
      </c>
      <c r="AC21" s="5">
        <f t="shared" si="15"/>
        <v>837.26428031737009</v>
      </c>
      <c r="AD21" s="5">
        <f t="shared" si="9"/>
        <v>837.26428031737009</v>
      </c>
      <c r="AE21" s="5">
        <f t="shared" si="10"/>
        <v>206.68241757367869</v>
      </c>
      <c r="AH21" s="5">
        <f t="shared" si="16"/>
        <v>5455.6101838104314</v>
      </c>
      <c r="AI21" s="5">
        <f t="shared" si="11"/>
        <v>5455.6101838104314</v>
      </c>
      <c r="AJ21" s="5">
        <f t="shared" si="12"/>
        <v>1346.7416783886995</v>
      </c>
    </row>
    <row r="22" spans="1:36" x14ac:dyDescent="0.25">
      <c r="A22" s="29">
        <v>11049</v>
      </c>
      <c r="C22" s="3">
        <v>1600000</v>
      </c>
      <c r="D22" s="3">
        <v>457075</v>
      </c>
      <c r="E22" s="3">
        <f t="shared" si="0"/>
        <v>2057075</v>
      </c>
      <c r="F22" s="3">
        <v>112831</v>
      </c>
      <c r="H22" s="5">
        <f>+M22+R22+W22+AB22+AG22</f>
        <v>279883.37143669435</v>
      </c>
      <c r="I22" s="5">
        <f t="shared" si="1"/>
        <v>79954.807499641916</v>
      </c>
      <c r="J22" s="5">
        <f t="shared" si="2"/>
        <v>359838.17893633625</v>
      </c>
      <c r="K22" s="5">
        <f t="shared" si="1"/>
        <v>19737.200426608535</v>
      </c>
      <c r="M22" s="5">
        <f t="shared" si="18"/>
        <v>145513.13578981237</v>
      </c>
      <c r="N22" s="5">
        <f t="shared" si="17"/>
        <v>41569.010338205306</v>
      </c>
      <c r="O22" s="5">
        <f t="shared" si="3"/>
        <v>187082.14612801769</v>
      </c>
      <c r="P22" s="5">
        <f t="shared" si="4"/>
        <v>10261.4953901877</v>
      </c>
      <c r="R22" s="5">
        <f t="shared" si="19"/>
        <v>42291.243833109555</v>
      </c>
      <c r="S22" s="5">
        <f t="shared" si="13"/>
        <v>12081.418921886594</v>
      </c>
      <c r="T22" s="5">
        <f t="shared" si="5"/>
        <v>54372.662754996149</v>
      </c>
      <c r="U22" s="5">
        <f t="shared" si="6"/>
        <v>2982.35208308349</v>
      </c>
      <c r="W22" s="5">
        <f t="shared" si="20"/>
        <v>70050.66135902323</v>
      </c>
      <c r="X22" s="5">
        <f t="shared" si="14"/>
        <v>20011.503775422218</v>
      </c>
      <c r="Y22" s="5">
        <f t="shared" si="7"/>
        <v>90062.165134445444</v>
      </c>
      <c r="Z22" s="5">
        <f t="shared" si="8"/>
        <v>4939.9288573749691</v>
      </c>
      <c r="AB22" s="5">
        <f t="shared" si="21"/>
        <v>2930.8600306465942</v>
      </c>
      <c r="AC22" s="5">
        <f t="shared" si="15"/>
        <v>837.26428031737009</v>
      </c>
      <c r="AD22" s="5">
        <f t="shared" si="9"/>
        <v>3768.1243109639645</v>
      </c>
      <c r="AE22" s="5">
        <f t="shared" si="10"/>
        <v>206.68241757367869</v>
      </c>
      <c r="AG22" s="5">
        <f t="shared" si="22"/>
        <v>19097.47042410259</v>
      </c>
      <c r="AH22" s="5">
        <f t="shared" si="16"/>
        <v>5455.6101838104314</v>
      </c>
      <c r="AI22" s="5">
        <f t="shared" si="11"/>
        <v>24553.08060791302</v>
      </c>
      <c r="AJ22" s="5">
        <f t="shared" si="12"/>
        <v>1346.7416783886995</v>
      </c>
    </row>
    <row r="23" spans="1:36" x14ac:dyDescent="0.25">
      <c r="A23" s="29">
        <v>11232</v>
      </c>
      <c r="D23" s="3">
        <v>417075</v>
      </c>
      <c r="E23" s="3">
        <f t="shared" si="0"/>
        <v>417075</v>
      </c>
      <c r="F23" s="3">
        <v>112831</v>
      </c>
      <c r="I23" s="5">
        <f t="shared" si="1"/>
        <v>72957.723213724559</v>
      </c>
      <c r="J23" s="5">
        <f t="shared" si="2"/>
        <v>72957.723213724559</v>
      </c>
      <c r="K23" s="5">
        <f t="shared" si="1"/>
        <v>19737.200426608535</v>
      </c>
      <c r="N23" s="5">
        <f t="shared" si="17"/>
        <v>37931.181943459997</v>
      </c>
      <c r="O23" s="5">
        <f t="shared" si="3"/>
        <v>37931.181943459997</v>
      </c>
      <c r="P23" s="5">
        <f t="shared" si="4"/>
        <v>10261.4953901877</v>
      </c>
      <c r="S23" s="5">
        <f t="shared" si="13"/>
        <v>11024.137826058855</v>
      </c>
      <c r="T23" s="5">
        <f t="shared" si="5"/>
        <v>11024.137826058855</v>
      </c>
      <c r="U23" s="5">
        <f t="shared" si="6"/>
        <v>2982.35208308349</v>
      </c>
      <c r="X23" s="5">
        <f t="shared" si="14"/>
        <v>18260.237241446634</v>
      </c>
      <c r="Y23" s="5">
        <f t="shared" si="7"/>
        <v>18260.237241446634</v>
      </c>
      <c r="Z23" s="5">
        <f t="shared" si="8"/>
        <v>4939.9288573749691</v>
      </c>
      <c r="AC23" s="5">
        <f t="shared" si="15"/>
        <v>763.99277955120522</v>
      </c>
      <c r="AD23" s="5">
        <f t="shared" si="9"/>
        <v>763.99277955120522</v>
      </c>
      <c r="AE23" s="5">
        <f t="shared" si="10"/>
        <v>206.68241757367869</v>
      </c>
      <c r="AH23" s="5">
        <f t="shared" si="16"/>
        <v>4978.173423207867</v>
      </c>
      <c r="AI23" s="5">
        <f t="shared" si="11"/>
        <v>4978.173423207867</v>
      </c>
      <c r="AJ23" s="5">
        <f t="shared" si="12"/>
        <v>1346.7416783886995</v>
      </c>
    </row>
    <row r="24" spans="1:36" x14ac:dyDescent="0.25">
      <c r="A24" s="29">
        <v>11414</v>
      </c>
      <c r="C24" s="3">
        <v>1680000</v>
      </c>
      <c r="D24" s="3">
        <v>417075</v>
      </c>
      <c r="E24" s="3">
        <f t="shared" si="0"/>
        <v>2097075</v>
      </c>
      <c r="F24" s="3">
        <v>112831</v>
      </c>
      <c r="H24" s="5">
        <f>+M24+R24+W24+AB24+AG24</f>
        <v>293877.54000852909</v>
      </c>
      <c r="I24" s="5">
        <f t="shared" si="1"/>
        <v>72957.723213724559</v>
      </c>
      <c r="J24" s="5">
        <f t="shared" si="2"/>
        <v>366835.26322225365</v>
      </c>
      <c r="K24" s="5">
        <f t="shared" si="1"/>
        <v>19737.200426608535</v>
      </c>
      <c r="M24" s="5">
        <f t="shared" si="18"/>
        <v>152788.792579303</v>
      </c>
      <c r="N24" s="5">
        <f t="shared" si="17"/>
        <v>37931.181943459997</v>
      </c>
      <c r="O24" s="5">
        <f t="shared" si="3"/>
        <v>190719.97452276299</v>
      </c>
      <c r="P24" s="5">
        <f t="shared" si="4"/>
        <v>10261.4953901877</v>
      </c>
      <c r="R24" s="5">
        <f t="shared" si="19"/>
        <v>44405.806024765028</v>
      </c>
      <c r="S24" s="5">
        <f t="shared" si="13"/>
        <v>11024.137826058855</v>
      </c>
      <c r="T24" s="5">
        <f t="shared" si="5"/>
        <v>55429.943850823882</v>
      </c>
      <c r="U24" s="5">
        <f t="shared" si="6"/>
        <v>2982.35208308349</v>
      </c>
      <c r="W24" s="5">
        <f t="shared" si="20"/>
        <v>73553.194426974398</v>
      </c>
      <c r="X24" s="5">
        <f t="shared" si="14"/>
        <v>18260.237241446634</v>
      </c>
      <c r="Y24" s="5">
        <f t="shared" si="7"/>
        <v>91813.431668421035</v>
      </c>
      <c r="Z24" s="5">
        <f t="shared" si="8"/>
        <v>4939.9288573749691</v>
      </c>
      <c r="AB24" s="5">
        <f t="shared" si="21"/>
        <v>3077.4030321789241</v>
      </c>
      <c r="AC24" s="5">
        <f t="shared" si="15"/>
        <v>763.99277955120522</v>
      </c>
      <c r="AD24" s="5">
        <f t="shared" si="9"/>
        <v>3841.3958117301295</v>
      </c>
      <c r="AE24" s="5">
        <f t="shared" si="10"/>
        <v>206.68241757367869</v>
      </c>
      <c r="AG24" s="5">
        <f t="shared" si="22"/>
        <v>20052.343945307719</v>
      </c>
      <c r="AH24" s="5">
        <f t="shared" si="16"/>
        <v>4978.173423207867</v>
      </c>
      <c r="AI24" s="5">
        <f t="shared" si="11"/>
        <v>25030.517368515586</v>
      </c>
      <c r="AJ24" s="5">
        <f t="shared" si="12"/>
        <v>1346.7416783886995</v>
      </c>
    </row>
    <row r="25" spans="1:36" x14ac:dyDescent="0.25">
      <c r="A25" s="29">
        <v>11597</v>
      </c>
      <c r="D25" s="3">
        <v>375075</v>
      </c>
      <c r="E25" s="3">
        <f t="shared" si="0"/>
        <v>375075</v>
      </c>
      <c r="F25" s="3">
        <v>112831</v>
      </c>
      <c r="I25" s="5">
        <f t="shared" si="1"/>
        <v>65610.784713511326</v>
      </c>
      <c r="J25" s="5">
        <f t="shared" si="2"/>
        <v>65610.784713511326</v>
      </c>
      <c r="K25" s="5">
        <f t="shared" si="1"/>
        <v>19737.200426608535</v>
      </c>
      <c r="N25" s="5">
        <f t="shared" si="17"/>
        <v>34111.462128977422</v>
      </c>
      <c r="O25" s="5">
        <f t="shared" si="3"/>
        <v>34111.462128977422</v>
      </c>
      <c r="P25" s="5">
        <f t="shared" si="4"/>
        <v>10261.4953901877</v>
      </c>
      <c r="S25" s="5">
        <f t="shared" si="13"/>
        <v>9913.9926754397293</v>
      </c>
      <c r="T25" s="5">
        <f t="shared" si="5"/>
        <v>9913.9926754397293</v>
      </c>
      <c r="U25" s="5">
        <f t="shared" si="6"/>
        <v>2982.35208308349</v>
      </c>
      <c r="X25" s="5">
        <f t="shared" si="14"/>
        <v>16421.407380772274</v>
      </c>
      <c r="Y25" s="5">
        <f t="shared" si="7"/>
        <v>16421.407380772274</v>
      </c>
      <c r="Z25" s="5">
        <f t="shared" si="8"/>
        <v>4939.9288573749691</v>
      </c>
      <c r="AC25" s="5">
        <f t="shared" si="15"/>
        <v>687.05770374673216</v>
      </c>
      <c r="AD25" s="5">
        <f t="shared" si="9"/>
        <v>687.05770374673216</v>
      </c>
      <c r="AE25" s="5">
        <f t="shared" si="10"/>
        <v>206.68241757367869</v>
      </c>
      <c r="AH25" s="5">
        <f t="shared" si="16"/>
        <v>4476.8648245751738</v>
      </c>
      <c r="AI25" s="5">
        <f t="shared" si="11"/>
        <v>4476.8648245751738</v>
      </c>
      <c r="AJ25" s="5">
        <f t="shared" si="12"/>
        <v>1346.7416783886995</v>
      </c>
    </row>
    <row r="26" spans="1:36" x14ac:dyDescent="0.25">
      <c r="A26" s="29">
        <v>11780</v>
      </c>
      <c r="C26" s="3">
        <v>1765000</v>
      </c>
      <c r="D26" s="3">
        <v>375075</v>
      </c>
      <c r="E26" s="3">
        <f t="shared" si="0"/>
        <v>2140075</v>
      </c>
      <c r="F26" s="3">
        <v>112831</v>
      </c>
      <c r="H26" s="5">
        <f>+M26+R26+W26+AB26+AG26</f>
        <v>308746.34411610349</v>
      </c>
      <c r="I26" s="5">
        <f t="shared" si="1"/>
        <v>65610.784713511326</v>
      </c>
      <c r="J26" s="5">
        <f t="shared" si="2"/>
        <v>374357.12882961484</v>
      </c>
      <c r="K26" s="5">
        <f t="shared" si="1"/>
        <v>19737.200426608535</v>
      </c>
      <c r="M26" s="5">
        <f t="shared" si="18"/>
        <v>160519.17791813679</v>
      </c>
      <c r="N26" s="5">
        <f t="shared" si="17"/>
        <v>34111.462128977422</v>
      </c>
      <c r="O26" s="5">
        <f t="shared" si="3"/>
        <v>194630.64004711423</v>
      </c>
      <c r="P26" s="5">
        <f t="shared" si="4"/>
        <v>10261.4953901877</v>
      </c>
      <c r="R26" s="5">
        <f t="shared" si="19"/>
        <v>46652.528353398979</v>
      </c>
      <c r="S26" s="5">
        <f t="shared" si="13"/>
        <v>9913.9926754397293</v>
      </c>
      <c r="T26" s="5">
        <f t="shared" si="5"/>
        <v>56566.52102883871</v>
      </c>
      <c r="U26" s="5">
        <f t="shared" si="6"/>
        <v>2982.35208308349</v>
      </c>
      <c r="W26" s="5">
        <f t="shared" si="20"/>
        <v>77274.635811672502</v>
      </c>
      <c r="X26" s="5">
        <f t="shared" si="14"/>
        <v>16421.407380772274</v>
      </c>
      <c r="Y26" s="5">
        <f t="shared" si="7"/>
        <v>93696.043192444777</v>
      </c>
      <c r="Z26" s="5">
        <f t="shared" si="8"/>
        <v>4939.9288573749691</v>
      </c>
      <c r="AB26" s="5">
        <f t="shared" si="21"/>
        <v>3233.1049713070242</v>
      </c>
      <c r="AC26" s="5">
        <f t="shared" si="15"/>
        <v>687.05770374673216</v>
      </c>
      <c r="AD26" s="5">
        <f t="shared" si="9"/>
        <v>3920.1626750537562</v>
      </c>
      <c r="AE26" s="5">
        <f t="shared" si="10"/>
        <v>206.68241757367869</v>
      </c>
      <c r="AG26" s="5">
        <f t="shared" si="22"/>
        <v>21066.89706158817</v>
      </c>
      <c r="AH26" s="5">
        <f t="shared" si="16"/>
        <v>4476.8648245751738</v>
      </c>
      <c r="AI26" s="5">
        <f t="shared" si="11"/>
        <v>25543.761886163345</v>
      </c>
      <c r="AJ26" s="5">
        <f t="shared" si="12"/>
        <v>1346.7416783886995</v>
      </c>
    </row>
    <row r="27" spans="1:36" x14ac:dyDescent="0.25">
      <c r="A27" s="29">
        <v>11963</v>
      </c>
      <c r="D27" s="3">
        <v>330950</v>
      </c>
      <c r="E27" s="3">
        <f t="shared" si="0"/>
        <v>330950</v>
      </c>
      <c r="F27" s="3">
        <v>112831</v>
      </c>
      <c r="I27" s="5">
        <f t="shared" si="1"/>
        <v>57892.12611060874</v>
      </c>
      <c r="J27" s="5">
        <f t="shared" si="2"/>
        <v>57892.12611060874</v>
      </c>
      <c r="K27" s="5">
        <f t="shared" si="1"/>
        <v>19737.200426608535</v>
      </c>
      <c r="N27" s="5">
        <f t="shared" si="17"/>
        <v>30098.482681024005</v>
      </c>
      <c r="O27" s="5">
        <f t="shared" si="3"/>
        <v>30098.482681024005</v>
      </c>
      <c r="P27" s="5">
        <f t="shared" si="4"/>
        <v>10261.4953901877</v>
      </c>
      <c r="S27" s="5">
        <f t="shared" si="13"/>
        <v>8747.6794666047535</v>
      </c>
      <c r="T27" s="5">
        <f t="shared" si="5"/>
        <v>8747.6794666047535</v>
      </c>
      <c r="U27" s="5">
        <f t="shared" si="6"/>
        <v>2982.35208308349</v>
      </c>
      <c r="X27" s="5">
        <f t="shared" si="14"/>
        <v>14489.541485480462</v>
      </c>
      <c r="Y27" s="5">
        <f t="shared" si="7"/>
        <v>14489.541485480462</v>
      </c>
      <c r="Z27" s="5">
        <f t="shared" si="8"/>
        <v>4939.9288573749691</v>
      </c>
      <c r="AC27" s="5">
        <f t="shared" si="15"/>
        <v>606.23007946405653</v>
      </c>
      <c r="AD27" s="5">
        <f t="shared" si="9"/>
        <v>606.23007946405653</v>
      </c>
      <c r="AE27" s="5">
        <f t="shared" si="10"/>
        <v>206.68241757367869</v>
      </c>
      <c r="AH27" s="5">
        <f t="shared" si="16"/>
        <v>3950.19239803547</v>
      </c>
      <c r="AI27" s="5">
        <f t="shared" si="11"/>
        <v>3950.19239803547</v>
      </c>
      <c r="AJ27" s="5">
        <f t="shared" si="12"/>
        <v>1346.7416783886995</v>
      </c>
    </row>
    <row r="28" spans="1:36" x14ac:dyDescent="0.25">
      <c r="A28" s="29">
        <v>12145</v>
      </c>
      <c r="C28" s="3">
        <v>1855000</v>
      </c>
      <c r="D28" s="3">
        <v>330950</v>
      </c>
      <c r="E28" s="3">
        <f t="shared" si="0"/>
        <v>2185950</v>
      </c>
      <c r="F28" s="3">
        <v>112831</v>
      </c>
      <c r="H28" s="5">
        <f>+M28+R28+W28+AB28+AG28</f>
        <v>324489.78375941748</v>
      </c>
      <c r="I28" s="5">
        <f t="shared" si="1"/>
        <v>57892.12611060874</v>
      </c>
      <c r="J28" s="5">
        <f t="shared" si="2"/>
        <v>382381.90987002623</v>
      </c>
      <c r="K28" s="5">
        <f t="shared" si="1"/>
        <v>19737.200426608535</v>
      </c>
      <c r="M28" s="5">
        <f t="shared" si="18"/>
        <v>168704.29180631373</v>
      </c>
      <c r="N28" s="5">
        <f t="shared" si="17"/>
        <v>30098.482681024005</v>
      </c>
      <c r="O28" s="5">
        <f t="shared" si="3"/>
        <v>198802.77448733774</v>
      </c>
      <c r="P28" s="5">
        <f t="shared" si="4"/>
        <v>10261.4953901877</v>
      </c>
      <c r="R28" s="5">
        <f t="shared" si="19"/>
        <v>49031.410819011391</v>
      </c>
      <c r="S28" s="5">
        <f t="shared" si="13"/>
        <v>8747.6794666047535</v>
      </c>
      <c r="T28" s="5">
        <f t="shared" si="5"/>
        <v>57779.090285616141</v>
      </c>
      <c r="U28" s="5">
        <f t="shared" si="6"/>
        <v>2982.35208308349</v>
      </c>
      <c r="W28" s="5">
        <f t="shared" si="20"/>
        <v>81214.985513117572</v>
      </c>
      <c r="X28" s="5">
        <f t="shared" si="14"/>
        <v>14489.541485480462</v>
      </c>
      <c r="Y28" s="5">
        <f t="shared" si="7"/>
        <v>95704.526998598041</v>
      </c>
      <c r="Z28" s="5">
        <f t="shared" si="8"/>
        <v>4939.9288573749691</v>
      </c>
      <c r="AB28" s="5">
        <f t="shared" si="21"/>
        <v>3397.9658480308954</v>
      </c>
      <c r="AC28" s="5">
        <f t="shared" si="15"/>
        <v>606.23007946405653</v>
      </c>
      <c r="AD28" s="5">
        <f t="shared" si="9"/>
        <v>4004.1959274949518</v>
      </c>
      <c r="AE28" s="5">
        <f t="shared" si="10"/>
        <v>206.68241757367869</v>
      </c>
      <c r="AG28" s="5">
        <f t="shared" si="22"/>
        <v>22141.129772943939</v>
      </c>
      <c r="AH28" s="5">
        <f t="shared" si="16"/>
        <v>3950.19239803547</v>
      </c>
      <c r="AI28" s="5">
        <f t="shared" si="11"/>
        <v>26091.322170979409</v>
      </c>
      <c r="AJ28" s="5">
        <f t="shared" si="12"/>
        <v>1346.7416783886995</v>
      </c>
    </row>
    <row r="29" spans="1:36" x14ac:dyDescent="0.25">
      <c r="A29" s="29">
        <v>12328</v>
      </c>
      <c r="D29" s="3">
        <v>293850</v>
      </c>
      <c r="E29" s="3">
        <f t="shared" si="0"/>
        <v>293850</v>
      </c>
      <c r="F29" s="3">
        <v>112831</v>
      </c>
      <c r="I29" s="5">
        <f t="shared" si="1"/>
        <v>51402.330435420401</v>
      </c>
      <c r="J29" s="5">
        <f t="shared" si="2"/>
        <v>51402.330435420401</v>
      </c>
      <c r="K29" s="5">
        <f t="shared" si="1"/>
        <v>19737.200426608535</v>
      </c>
      <c r="N29" s="5">
        <f t="shared" si="17"/>
        <v>26724.396844897728</v>
      </c>
      <c r="O29" s="5">
        <f t="shared" si="3"/>
        <v>26724.396844897728</v>
      </c>
      <c r="P29" s="5">
        <f t="shared" si="4"/>
        <v>10261.4953901877</v>
      </c>
      <c r="S29" s="5">
        <f t="shared" si="13"/>
        <v>7767.0512502245265</v>
      </c>
      <c r="T29" s="5">
        <f t="shared" si="5"/>
        <v>7767.0512502245265</v>
      </c>
      <c r="U29" s="5">
        <f t="shared" si="6"/>
        <v>2982.35208308349</v>
      </c>
      <c r="X29" s="5">
        <f t="shared" si="14"/>
        <v>12865.241775218112</v>
      </c>
      <c r="Y29" s="5">
        <f t="shared" si="7"/>
        <v>12865.241775218112</v>
      </c>
      <c r="Z29" s="5">
        <f t="shared" si="8"/>
        <v>4939.9288573749691</v>
      </c>
      <c r="AC29" s="5">
        <f t="shared" si="15"/>
        <v>538.27076250343862</v>
      </c>
      <c r="AD29" s="5">
        <f t="shared" si="9"/>
        <v>538.27076250343862</v>
      </c>
      <c r="AE29" s="5">
        <f t="shared" si="10"/>
        <v>206.68241757367869</v>
      </c>
      <c r="AH29" s="5">
        <f t="shared" si="16"/>
        <v>3507.3698025765912</v>
      </c>
      <c r="AI29" s="5">
        <f t="shared" si="11"/>
        <v>3507.3698025765912</v>
      </c>
      <c r="AJ29" s="5">
        <f t="shared" si="12"/>
        <v>1346.7416783886995</v>
      </c>
    </row>
    <row r="30" spans="1:36" x14ac:dyDescent="0.25">
      <c r="A30" s="29">
        <v>12510</v>
      </c>
      <c r="C30" s="3">
        <v>1930000</v>
      </c>
      <c r="D30" s="3">
        <v>293850</v>
      </c>
      <c r="E30" s="3">
        <f t="shared" si="0"/>
        <v>2223850</v>
      </c>
      <c r="F30" s="3">
        <v>112831</v>
      </c>
      <c r="H30" s="5">
        <f>+M30+R30+W30+AB30+AG30</f>
        <v>337609.31679551257</v>
      </c>
      <c r="I30" s="5">
        <f t="shared" si="1"/>
        <v>51402.330435420401</v>
      </c>
      <c r="J30" s="5">
        <f t="shared" si="2"/>
        <v>389011.64723093295</v>
      </c>
      <c r="K30" s="5">
        <f t="shared" si="1"/>
        <v>19737.200426608535</v>
      </c>
      <c r="L30"/>
      <c r="M30" s="5">
        <f t="shared" si="18"/>
        <v>175525.22004646118</v>
      </c>
      <c r="N30" s="5">
        <f t="shared" si="17"/>
        <v>26724.396844897728</v>
      </c>
      <c r="O30" s="5">
        <f t="shared" si="3"/>
        <v>202249.61689135892</v>
      </c>
      <c r="P30" s="5">
        <f t="shared" si="4"/>
        <v>10261.4953901877</v>
      </c>
      <c r="Q30"/>
      <c r="R30" s="5">
        <f t="shared" si="19"/>
        <v>51013.812873688403</v>
      </c>
      <c r="S30" s="5">
        <f t="shared" si="13"/>
        <v>7767.0512502245265</v>
      </c>
      <c r="T30" s="5">
        <f t="shared" si="5"/>
        <v>58780.864123912928</v>
      </c>
      <c r="U30" s="5">
        <f t="shared" si="6"/>
        <v>2982.35208308349</v>
      </c>
      <c r="V30"/>
      <c r="W30" s="5">
        <f t="shared" si="20"/>
        <v>84498.610264321775</v>
      </c>
      <c r="X30" s="5">
        <f t="shared" si="14"/>
        <v>12865.241775218112</v>
      </c>
      <c r="Y30" s="5">
        <f t="shared" si="7"/>
        <v>97363.852039539881</v>
      </c>
      <c r="Z30" s="5">
        <f t="shared" si="8"/>
        <v>4939.9288573749691</v>
      </c>
      <c r="AA30"/>
      <c r="AB30" s="5">
        <f t="shared" si="21"/>
        <v>3535.3499119674543</v>
      </c>
      <c r="AC30" s="5">
        <f t="shared" si="15"/>
        <v>538.27076250343862</v>
      </c>
      <c r="AD30" s="5">
        <f t="shared" si="9"/>
        <v>4073.6206744708929</v>
      </c>
      <c r="AE30" s="5">
        <f t="shared" si="10"/>
        <v>206.68241757367869</v>
      </c>
      <c r="AF30"/>
      <c r="AG30" s="5">
        <f t="shared" si="22"/>
        <v>23036.32369907375</v>
      </c>
      <c r="AH30" s="5">
        <f t="shared" si="16"/>
        <v>3507.3698025765912</v>
      </c>
      <c r="AI30" s="5">
        <f t="shared" si="11"/>
        <v>26543.693501650341</v>
      </c>
      <c r="AJ30" s="5">
        <f t="shared" si="12"/>
        <v>1346.7416783886995</v>
      </c>
    </row>
    <row r="31" spans="1:36" x14ac:dyDescent="0.25">
      <c r="A31" s="29">
        <v>12693</v>
      </c>
      <c r="D31" s="3">
        <v>264900</v>
      </c>
      <c r="E31" s="3">
        <f t="shared" si="0"/>
        <v>264900</v>
      </c>
      <c r="F31" s="3">
        <v>112831</v>
      </c>
      <c r="I31" s="5">
        <f t="shared" si="1"/>
        <v>46338.190683487708</v>
      </c>
      <c r="J31" s="5">
        <f t="shared" si="2"/>
        <v>46338.190683487708</v>
      </c>
      <c r="K31" s="5">
        <f t="shared" si="1"/>
        <v>19737.200426608535</v>
      </c>
      <c r="L31"/>
      <c r="N31" s="5">
        <f t="shared" si="17"/>
        <v>24091.518544200811</v>
      </c>
      <c r="O31" s="5">
        <f t="shared" si="3"/>
        <v>24091.518544200811</v>
      </c>
      <c r="P31" s="5">
        <f t="shared" si="4"/>
        <v>10261.4953901877</v>
      </c>
      <c r="Q31"/>
      <c r="S31" s="5">
        <f t="shared" si="13"/>
        <v>7001.8440571192004</v>
      </c>
      <c r="T31" s="5">
        <f t="shared" si="5"/>
        <v>7001.8440571192004</v>
      </c>
      <c r="U31" s="5">
        <f t="shared" si="6"/>
        <v>2982.35208308349</v>
      </c>
      <c r="V31"/>
      <c r="X31" s="5">
        <f t="shared" si="14"/>
        <v>11597.762621253285</v>
      </c>
      <c r="Y31" s="5">
        <f t="shared" si="7"/>
        <v>11597.762621253285</v>
      </c>
      <c r="Z31" s="5">
        <f t="shared" si="8"/>
        <v>4939.9288573749691</v>
      </c>
      <c r="AA31"/>
      <c r="AC31" s="5">
        <f t="shared" si="15"/>
        <v>485.24051382392679</v>
      </c>
      <c r="AD31" s="5">
        <f t="shared" si="9"/>
        <v>485.24051382392679</v>
      </c>
      <c r="AE31" s="5">
        <f t="shared" si="10"/>
        <v>206.68241757367869</v>
      </c>
      <c r="AF31"/>
      <c r="AH31" s="5">
        <f t="shared" si="16"/>
        <v>3161.8249470904848</v>
      </c>
      <c r="AI31" s="5">
        <f t="shared" si="11"/>
        <v>3161.8249470904848</v>
      </c>
      <c r="AJ31" s="5">
        <f t="shared" si="12"/>
        <v>1346.7416783886995</v>
      </c>
    </row>
    <row r="32" spans="1:36" x14ac:dyDescent="0.25">
      <c r="A32" s="29">
        <v>12875</v>
      </c>
      <c r="C32" s="3">
        <v>1985000</v>
      </c>
      <c r="D32" s="3">
        <v>264900</v>
      </c>
      <c r="E32" s="3">
        <f t="shared" si="0"/>
        <v>2249900</v>
      </c>
      <c r="F32" s="3">
        <v>112831</v>
      </c>
      <c r="H32" s="5">
        <f>+M32+R32+W32+AB32+AG32</f>
        <v>347230.30768864893</v>
      </c>
      <c r="I32" s="5">
        <f t="shared" si="1"/>
        <v>46338.190683487708</v>
      </c>
      <c r="J32" s="5">
        <f t="shared" si="2"/>
        <v>393568.49837213662</v>
      </c>
      <c r="K32" s="5">
        <f t="shared" si="1"/>
        <v>19737.200426608535</v>
      </c>
      <c r="L32"/>
      <c r="M32" s="5">
        <f t="shared" si="18"/>
        <v>180527.23408923598</v>
      </c>
      <c r="N32" s="5">
        <f t="shared" si="17"/>
        <v>24091.518544200811</v>
      </c>
      <c r="O32" s="5">
        <f t="shared" si="3"/>
        <v>204618.75263343679</v>
      </c>
      <c r="P32" s="5">
        <f t="shared" si="4"/>
        <v>10261.4953901877</v>
      </c>
      <c r="Q32"/>
      <c r="R32" s="5">
        <f t="shared" si="19"/>
        <v>52467.574380451544</v>
      </c>
      <c r="S32" s="5">
        <f t="shared" si="13"/>
        <v>7001.8440571192004</v>
      </c>
      <c r="T32" s="5">
        <f t="shared" si="5"/>
        <v>59469.418437570741</v>
      </c>
      <c r="U32" s="5">
        <f t="shared" si="6"/>
        <v>2982.35208308349</v>
      </c>
      <c r="V32"/>
      <c r="W32" s="5">
        <f t="shared" si="20"/>
        <v>86906.601748538204</v>
      </c>
      <c r="X32" s="5">
        <f t="shared" si="14"/>
        <v>11597.762621253285</v>
      </c>
      <c r="Y32" s="5">
        <f t="shared" si="7"/>
        <v>98504.364369791496</v>
      </c>
      <c r="Z32" s="5">
        <f t="shared" si="8"/>
        <v>4939.9288573749691</v>
      </c>
      <c r="AA32"/>
      <c r="AB32" s="5">
        <f t="shared" si="21"/>
        <v>3636.098225520931</v>
      </c>
      <c r="AC32" s="5">
        <f t="shared" si="15"/>
        <v>485.24051382392679</v>
      </c>
      <c r="AD32" s="5">
        <f t="shared" si="9"/>
        <v>4121.3387393448575</v>
      </c>
      <c r="AE32" s="5">
        <f t="shared" si="10"/>
        <v>206.68241757367869</v>
      </c>
      <c r="AF32"/>
      <c r="AG32" s="5">
        <f t="shared" si="22"/>
        <v>23692.799244902275</v>
      </c>
      <c r="AH32" s="5">
        <f t="shared" si="16"/>
        <v>3161.8249470904848</v>
      </c>
      <c r="AI32" s="5">
        <f t="shared" si="11"/>
        <v>26854.62419199276</v>
      </c>
      <c r="AJ32" s="5">
        <f t="shared" si="12"/>
        <v>1346.7416783886995</v>
      </c>
    </row>
    <row r="33" spans="1:36" x14ac:dyDescent="0.25">
      <c r="A33" s="29">
        <v>13058</v>
      </c>
      <c r="D33" s="3">
        <v>235125</v>
      </c>
      <c r="E33" s="3">
        <f t="shared" si="0"/>
        <v>235125</v>
      </c>
      <c r="F33" s="3">
        <v>112831</v>
      </c>
      <c r="I33" s="5">
        <f t="shared" si="1"/>
        <v>41129.736068157974</v>
      </c>
      <c r="J33" s="5">
        <f t="shared" si="2"/>
        <v>41129.736068157974</v>
      </c>
      <c r="K33" s="5">
        <f t="shared" si="1"/>
        <v>19737.200426608535</v>
      </c>
      <c r="L33"/>
      <c r="N33" s="5">
        <f t="shared" si="17"/>
        <v>21383.610032862271</v>
      </c>
      <c r="O33" s="5">
        <f t="shared" si="3"/>
        <v>21383.610032862271</v>
      </c>
      <c r="P33" s="5">
        <f t="shared" si="4"/>
        <v>10261.4953901877</v>
      </c>
      <c r="Q33"/>
      <c r="S33" s="5">
        <f t="shared" si="13"/>
        <v>6214.8304414124277</v>
      </c>
      <c r="T33" s="5">
        <f t="shared" si="5"/>
        <v>6214.8304414124277</v>
      </c>
      <c r="U33" s="5">
        <f t="shared" si="6"/>
        <v>2982.35208308349</v>
      </c>
      <c r="V33"/>
      <c r="X33" s="5">
        <f t="shared" si="14"/>
        <v>10294.163595025211</v>
      </c>
      <c r="Y33" s="5">
        <f t="shared" si="7"/>
        <v>10294.163595025211</v>
      </c>
      <c r="Z33" s="5">
        <f t="shared" si="8"/>
        <v>4939.9288573749691</v>
      </c>
      <c r="AA33"/>
      <c r="AC33" s="5">
        <f t="shared" si="15"/>
        <v>430.6990404411128</v>
      </c>
      <c r="AD33" s="5">
        <f t="shared" si="9"/>
        <v>430.6990404411128</v>
      </c>
      <c r="AE33" s="5">
        <f t="shared" si="10"/>
        <v>206.68241757367869</v>
      </c>
      <c r="AF33"/>
      <c r="AH33" s="5">
        <f t="shared" si="16"/>
        <v>2806.4329584169509</v>
      </c>
      <c r="AI33" s="5">
        <f t="shared" si="11"/>
        <v>2806.4329584169509</v>
      </c>
      <c r="AJ33" s="5">
        <f t="shared" si="12"/>
        <v>1346.7416783886995</v>
      </c>
    </row>
    <row r="34" spans="1:36" x14ac:dyDescent="0.25">
      <c r="A34" s="29">
        <v>13241</v>
      </c>
      <c r="C34" s="3">
        <v>2045000</v>
      </c>
      <c r="D34" s="3">
        <v>235125</v>
      </c>
      <c r="E34" s="3">
        <f t="shared" si="0"/>
        <v>2280125</v>
      </c>
      <c r="F34" s="3">
        <v>112831</v>
      </c>
      <c r="H34" s="5">
        <f>+M34+R34+W34+AB34+AG34</f>
        <v>357725.93411752494</v>
      </c>
      <c r="I34" s="5">
        <f t="shared" si="1"/>
        <v>41129.736068157974</v>
      </c>
      <c r="J34" s="5">
        <f t="shared" si="2"/>
        <v>398855.67018568295</v>
      </c>
      <c r="K34" s="5">
        <f t="shared" si="1"/>
        <v>19737.200426608535</v>
      </c>
      <c r="L34"/>
      <c r="M34" s="5">
        <f t="shared" si="18"/>
        <v>185983.97668135393</v>
      </c>
      <c r="N34" s="5">
        <f t="shared" si="17"/>
        <v>21383.610032862271</v>
      </c>
      <c r="O34" s="5">
        <f t="shared" si="3"/>
        <v>207367.58671421622</v>
      </c>
      <c r="P34" s="5">
        <f t="shared" si="4"/>
        <v>10261.4953901877</v>
      </c>
      <c r="Q34"/>
      <c r="R34" s="5">
        <f t="shared" si="19"/>
        <v>54053.496024193148</v>
      </c>
      <c r="S34" s="5">
        <f t="shared" si="13"/>
        <v>6214.8304414124277</v>
      </c>
      <c r="T34" s="5">
        <f t="shared" si="5"/>
        <v>60268.326465605576</v>
      </c>
      <c r="U34" s="5">
        <f t="shared" si="6"/>
        <v>2982.35208308349</v>
      </c>
      <c r="V34"/>
      <c r="W34" s="5">
        <f t="shared" si="20"/>
        <v>89533.501549501569</v>
      </c>
      <c r="X34" s="5">
        <f t="shared" si="14"/>
        <v>10294.163595025211</v>
      </c>
      <c r="Y34" s="5">
        <f t="shared" si="7"/>
        <v>99827.665144526778</v>
      </c>
      <c r="Z34" s="5">
        <f t="shared" si="8"/>
        <v>4939.9288573749691</v>
      </c>
      <c r="AA34"/>
      <c r="AB34" s="5">
        <f t="shared" si="21"/>
        <v>3746.0054766701783</v>
      </c>
      <c r="AC34" s="5">
        <f t="shared" si="15"/>
        <v>430.6990404411128</v>
      </c>
      <c r="AD34" s="5">
        <f t="shared" si="9"/>
        <v>4176.7045171112914</v>
      </c>
      <c r="AE34" s="5">
        <f t="shared" si="10"/>
        <v>206.68241757367869</v>
      </c>
      <c r="AF34"/>
      <c r="AG34" s="5">
        <f t="shared" si="22"/>
        <v>24408.954385806122</v>
      </c>
      <c r="AH34" s="5">
        <f t="shared" si="16"/>
        <v>2806.4329584169509</v>
      </c>
      <c r="AI34" s="5">
        <f t="shared" si="11"/>
        <v>27215.387344223072</v>
      </c>
      <c r="AJ34" s="5">
        <f t="shared" si="12"/>
        <v>1346.7416783886995</v>
      </c>
    </row>
    <row r="35" spans="1:36" x14ac:dyDescent="0.25">
      <c r="A35" s="29">
        <v>13424</v>
      </c>
      <c r="D35" s="3">
        <v>204450</v>
      </c>
      <c r="E35" s="3">
        <f t="shared" si="0"/>
        <v>204450</v>
      </c>
      <c r="F35" s="3">
        <v>112831</v>
      </c>
      <c r="I35" s="5">
        <f t="shared" si="1"/>
        <v>35763.847056395098</v>
      </c>
      <c r="J35" s="5">
        <f t="shared" si="2"/>
        <v>35763.847056395098</v>
      </c>
      <c r="K35" s="5">
        <f t="shared" si="1"/>
        <v>19737.200426608535</v>
      </c>
      <c r="L35"/>
      <c r="N35" s="5">
        <f t="shared" si="17"/>
        <v>18593.850382641962</v>
      </c>
      <c r="O35" s="5">
        <f t="shared" si="3"/>
        <v>18593.850382641962</v>
      </c>
      <c r="P35" s="5">
        <f t="shared" si="4"/>
        <v>10261.4953901877</v>
      </c>
      <c r="Q35"/>
      <c r="S35" s="5">
        <f t="shared" si="13"/>
        <v>5404.0280010495298</v>
      </c>
      <c r="T35" s="5">
        <f t="shared" si="5"/>
        <v>5404.0280010495298</v>
      </c>
      <c r="U35" s="5">
        <f t="shared" si="6"/>
        <v>2982.35208308349</v>
      </c>
      <c r="V35"/>
      <c r="X35" s="5">
        <f t="shared" si="14"/>
        <v>8951.1610717826879</v>
      </c>
      <c r="Y35" s="5">
        <f t="shared" si="7"/>
        <v>8951.1610717826879</v>
      </c>
      <c r="Z35" s="5">
        <f t="shared" si="8"/>
        <v>4939.9288573749691</v>
      </c>
      <c r="AA35"/>
      <c r="AC35" s="5">
        <f t="shared" si="15"/>
        <v>374.50895829106014</v>
      </c>
      <c r="AD35" s="5">
        <f t="shared" si="9"/>
        <v>374.50895829106014</v>
      </c>
      <c r="AE35" s="5">
        <f t="shared" si="10"/>
        <v>206.68241757367869</v>
      </c>
      <c r="AF35"/>
      <c r="AH35" s="5">
        <f t="shared" si="16"/>
        <v>2440.2986426298589</v>
      </c>
      <c r="AI35" s="5">
        <f t="shared" si="11"/>
        <v>2440.2986426298589</v>
      </c>
      <c r="AJ35" s="5">
        <f t="shared" si="12"/>
        <v>1346.7416783886995</v>
      </c>
    </row>
    <row r="36" spans="1:36" x14ac:dyDescent="0.25">
      <c r="A36" s="29">
        <v>13606</v>
      </c>
      <c r="C36" s="3">
        <v>2105000</v>
      </c>
      <c r="D36" s="3">
        <v>204450</v>
      </c>
      <c r="E36" s="3">
        <f t="shared" si="0"/>
        <v>2309450</v>
      </c>
      <c r="F36" s="3">
        <v>112831</v>
      </c>
      <c r="H36" s="5">
        <f>+M36+R36+W36+AB36+AG36</f>
        <v>368221.56054640096</v>
      </c>
      <c r="I36" s="5">
        <f t="shared" si="1"/>
        <v>35763.847056395098</v>
      </c>
      <c r="J36" s="5">
        <f t="shared" si="2"/>
        <v>403985.40760279604</v>
      </c>
      <c r="K36" s="5">
        <f t="shared" si="1"/>
        <v>19737.200426608535</v>
      </c>
      <c r="L36"/>
      <c r="M36" s="5">
        <f t="shared" si="18"/>
        <v>191440.71927347191</v>
      </c>
      <c r="N36" s="5">
        <f t="shared" si="17"/>
        <v>18593.850382641962</v>
      </c>
      <c r="O36" s="5">
        <f t="shared" si="3"/>
        <v>210034.56965611386</v>
      </c>
      <c r="P36" s="5">
        <f t="shared" si="4"/>
        <v>10261.4953901877</v>
      </c>
      <c r="Q36"/>
      <c r="R36" s="5">
        <f t="shared" si="19"/>
        <v>55639.417667934758</v>
      </c>
      <c r="S36" s="5">
        <f t="shared" si="13"/>
        <v>5404.0280010495298</v>
      </c>
      <c r="T36" s="5">
        <f t="shared" si="5"/>
        <v>61043.445668984292</v>
      </c>
      <c r="U36" s="5">
        <f t="shared" si="6"/>
        <v>2982.35208308349</v>
      </c>
      <c r="V36"/>
      <c r="W36" s="5">
        <f t="shared" si="20"/>
        <v>92160.401350464948</v>
      </c>
      <c r="X36" s="5">
        <f t="shared" si="14"/>
        <v>8951.1610717826879</v>
      </c>
      <c r="Y36" s="5">
        <f t="shared" si="7"/>
        <v>101111.56242224763</v>
      </c>
      <c r="Z36" s="5">
        <f t="shared" si="8"/>
        <v>4939.9288573749691</v>
      </c>
      <c r="AA36"/>
      <c r="AB36" s="5">
        <f t="shared" si="21"/>
        <v>3855.9127278194255</v>
      </c>
      <c r="AC36" s="5">
        <f t="shared" si="15"/>
        <v>374.50895829106014</v>
      </c>
      <c r="AD36" s="5">
        <f t="shared" si="9"/>
        <v>4230.421686110486</v>
      </c>
      <c r="AE36" s="5">
        <f t="shared" si="10"/>
        <v>206.68241757367869</v>
      </c>
      <c r="AF36"/>
      <c r="AG36" s="5">
        <f t="shared" si="22"/>
        <v>25125.10952670997</v>
      </c>
      <c r="AH36" s="5">
        <f t="shared" si="16"/>
        <v>2440.2986426298589</v>
      </c>
      <c r="AI36" s="5">
        <f t="shared" si="11"/>
        <v>27565.408169339829</v>
      </c>
      <c r="AJ36" s="5">
        <f t="shared" si="12"/>
        <v>1346.7416783886995</v>
      </c>
    </row>
    <row r="37" spans="1:36" x14ac:dyDescent="0.25">
      <c r="A37" s="29">
        <v>13789</v>
      </c>
      <c r="D37" s="3">
        <v>172875</v>
      </c>
      <c r="E37" s="3">
        <f t="shared" si="0"/>
        <v>172875</v>
      </c>
      <c r="F37" s="3">
        <v>112831</v>
      </c>
      <c r="I37" s="5">
        <f t="shared" si="1"/>
        <v>30240.523648199083</v>
      </c>
      <c r="J37" s="5">
        <f t="shared" si="2"/>
        <v>30240.523648199083</v>
      </c>
      <c r="K37" s="5">
        <f t="shared" si="1"/>
        <v>19737.200426608535</v>
      </c>
      <c r="L37"/>
      <c r="N37" s="5">
        <f t="shared" si="17"/>
        <v>15722.239593539884</v>
      </c>
      <c r="O37" s="5">
        <f t="shared" si="3"/>
        <v>15722.239593539884</v>
      </c>
      <c r="P37" s="5">
        <f t="shared" si="4"/>
        <v>10261.4953901877</v>
      </c>
      <c r="Q37"/>
      <c r="S37" s="5">
        <f t="shared" si="13"/>
        <v>4569.4367360305087</v>
      </c>
      <c r="T37" s="5">
        <f t="shared" si="5"/>
        <v>4569.4367360305087</v>
      </c>
      <c r="U37" s="5">
        <f t="shared" si="6"/>
        <v>2982.35208308349</v>
      </c>
      <c r="V37"/>
      <c r="X37" s="5">
        <f t="shared" si="14"/>
        <v>7568.7550515257135</v>
      </c>
      <c r="Y37" s="5">
        <f t="shared" si="7"/>
        <v>7568.7550515257135</v>
      </c>
      <c r="Z37" s="5">
        <f t="shared" si="8"/>
        <v>4939.9288573749691</v>
      </c>
      <c r="AA37"/>
      <c r="AC37" s="5">
        <f t="shared" si="15"/>
        <v>316.67026737376875</v>
      </c>
      <c r="AD37" s="5">
        <f t="shared" si="9"/>
        <v>316.67026737376875</v>
      </c>
      <c r="AE37" s="5">
        <f t="shared" si="10"/>
        <v>206.68241757367869</v>
      </c>
      <c r="AF37"/>
      <c r="AH37" s="5">
        <f t="shared" si="16"/>
        <v>2063.4219997292093</v>
      </c>
      <c r="AI37" s="5">
        <f t="shared" si="11"/>
        <v>2063.4219997292093</v>
      </c>
      <c r="AJ37" s="5">
        <f t="shared" si="12"/>
        <v>1346.7416783886995</v>
      </c>
    </row>
    <row r="38" spans="1:36" x14ac:dyDescent="0.25">
      <c r="A38" s="29">
        <v>13971</v>
      </c>
      <c r="C38" s="3">
        <v>2170000</v>
      </c>
      <c r="D38" s="3">
        <v>172875</v>
      </c>
      <c r="E38" s="3">
        <f t="shared" si="0"/>
        <v>2342875</v>
      </c>
      <c r="F38" s="3">
        <v>112831</v>
      </c>
      <c r="H38" s="5">
        <f>+M38+R38+W38+AB38+AG38</f>
        <v>379591.82251101668</v>
      </c>
      <c r="I38" s="5">
        <f t="shared" si="1"/>
        <v>30240.523648199083</v>
      </c>
      <c r="J38" s="5">
        <f t="shared" si="2"/>
        <v>409832.34615921578</v>
      </c>
      <c r="K38" s="5">
        <f t="shared" si="1"/>
        <v>19737.200426608535</v>
      </c>
      <c r="L38"/>
      <c r="M38" s="5">
        <f t="shared" si="18"/>
        <v>197352.19041493302</v>
      </c>
      <c r="N38" s="5">
        <f t="shared" si="17"/>
        <v>15722.239593539884</v>
      </c>
      <c r="O38" s="5">
        <f t="shared" si="3"/>
        <v>213074.4300084729</v>
      </c>
      <c r="P38" s="5">
        <f t="shared" si="4"/>
        <v>10261.4953901877</v>
      </c>
      <c r="Q38"/>
      <c r="R38" s="5">
        <f t="shared" si="19"/>
        <v>57357.499448654831</v>
      </c>
      <c r="S38" s="5">
        <f t="shared" si="13"/>
        <v>4569.4367360305087</v>
      </c>
      <c r="T38" s="5">
        <f t="shared" si="5"/>
        <v>61926.936184685343</v>
      </c>
      <c r="U38" s="5">
        <f t="shared" si="6"/>
        <v>2982.35208308349</v>
      </c>
      <c r="V38"/>
      <c r="W38" s="5">
        <f t="shared" si="20"/>
        <v>95006.209468175264</v>
      </c>
      <c r="X38" s="5">
        <f t="shared" si="14"/>
        <v>7568.7550515257135</v>
      </c>
      <c r="Y38" s="5">
        <f t="shared" si="7"/>
        <v>102574.96451970098</v>
      </c>
      <c r="Z38" s="5">
        <f t="shared" si="8"/>
        <v>4939.9288573749691</v>
      </c>
      <c r="AA38"/>
      <c r="AB38" s="5">
        <f t="shared" si="21"/>
        <v>3974.9789165644438</v>
      </c>
      <c r="AC38" s="5">
        <f t="shared" si="15"/>
        <v>316.67026737376875</v>
      </c>
      <c r="AD38" s="5">
        <f t="shared" si="9"/>
        <v>4291.6491839382124</v>
      </c>
      <c r="AE38" s="5">
        <f t="shared" si="10"/>
        <v>206.68241757367869</v>
      </c>
      <c r="AF38"/>
      <c r="AG38" s="5">
        <f t="shared" si="22"/>
        <v>25900.944262689136</v>
      </c>
      <c r="AH38" s="5">
        <f t="shared" si="16"/>
        <v>2063.4219997292093</v>
      </c>
      <c r="AI38" s="5">
        <f t="shared" si="11"/>
        <v>27964.366262418345</v>
      </c>
      <c r="AJ38" s="5">
        <f t="shared" si="12"/>
        <v>1346.7416783886995</v>
      </c>
    </row>
    <row r="39" spans="1:36" x14ac:dyDescent="0.25">
      <c r="A39" s="29">
        <v>14154</v>
      </c>
      <c r="D39" s="3">
        <v>140325</v>
      </c>
      <c r="E39" s="3">
        <f t="shared" si="0"/>
        <v>140325</v>
      </c>
      <c r="F39" s="3">
        <v>112831</v>
      </c>
      <c r="I39" s="5">
        <f t="shared" si="1"/>
        <v>24546.646310533833</v>
      </c>
      <c r="J39" s="5">
        <f t="shared" si="2"/>
        <v>24546.646310533833</v>
      </c>
      <c r="K39" s="5">
        <f t="shared" si="1"/>
        <v>19737.200426608535</v>
      </c>
      <c r="L39"/>
      <c r="N39" s="5">
        <f t="shared" si="17"/>
        <v>12761.956737315888</v>
      </c>
      <c r="O39" s="5">
        <f t="shared" si="3"/>
        <v>12761.956737315888</v>
      </c>
      <c r="P39" s="5">
        <f t="shared" si="4"/>
        <v>10261.4953901877</v>
      </c>
      <c r="Q39"/>
      <c r="S39" s="5">
        <f t="shared" si="13"/>
        <v>3709.0742443006866</v>
      </c>
      <c r="T39" s="5">
        <f t="shared" si="5"/>
        <v>3709.0742443006866</v>
      </c>
      <c r="U39" s="5">
        <f t="shared" si="6"/>
        <v>2982.35208308349</v>
      </c>
      <c r="V39"/>
      <c r="X39" s="5">
        <f t="shared" si="14"/>
        <v>6143.6619095030846</v>
      </c>
      <c r="Y39" s="5">
        <f t="shared" si="7"/>
        <v>6143.6619095030846</v>
      </c>
      <c r="Z39" s="5">
        <f t="shared" si="8"/>
        <v>4939.9288573749691</v>
      </c>
      <c r="AA39"/>
      <c r="AC39" s="5">
        <f t="shared" si="15"/>
        <v>257.04558362530207</v>
      </c>
      <c r="AD39" s="5">
        <f t="shared" si="9"/>
        <v>257.04558362530207</v>
      </c>
      <c r="AE39" s="5">
        <f t="shared" si="10"/>
        <v>206.68241757367869</v>
      </c>
      <c r="AF39"/>
      <c r="AH39" s="5">
        <f t="shared" si="16"/>
        <v>1674.9078357888723</v>
      </c>
      <c r="AI39" s="5">
        <f t="shared" si="11"/>
        <v>1674.9078357888723</v>
      </c>
      <c r="AJ39" s="5">
        <f t="shared" si="12"/>
        <v>1346.7416783886995</v>
      </c>
    </row>
    <row r="40" spans="1:36" x14ac:dyDescent="0.25">
      <c r="A40" s="29">
        <v>14336</v>
      </c>
      <c r="C40" s="3">
        <v>2235000</v>
      </c>
      <c r="D40" s="3">
        <v>140325</v>
      </c>
      <c r="E40" s="3">
        <f t="shared" si="0"/>
        <v>2375325</v>
      </c>
      <c r="F40" s="3">
        <v>112831</v>
      </c>
      <c r="H40" s="5">
        <f>+M40+R40+W40+AB40+AG40</f>
        <v>390962.08447563241</v>
      </c>
      <c r="I40" s="5">
        <f t="shared" si="1"/>
        <v>24546.646310533833</v>
      </c>
      <c r="J40" s="5">
        <f t="shared" si="2"/>
        <v>415508.73078616627</v>
      </c>
      <c r="K40" s="5">
        <f t="shared" si="1"/>
        <v>19737.200426608535</v>
      </c>
      <c r="L40"/>
      <c r="M40" s="5">
        <f t="shared" si="18"/>
        <v>203263.66155639416</v>
      </c>
      <c r="N40" s="5">
        <f t="shared" si="17"/>
        <v>12761.956737315888</v>
      </c>
      <c r="O40" s="5">
        <f t="shared" si="3"/>
        <v>216025.61829371005</v>
      </c>
      <c r="P40" s="5">
        <f t="shared" si="4"/>
        <v>10261.4953901877</v>
      </c>
      <c r="Q40"/>
      <c r="R40" s="5">
        <f t="shared" si="19"/>
        <v>59075.581229374911</v>
      </c>
      <c r="S40" s="5">
        <f t="shared" si="13"/>
        <v>3709.0742443006866</v>
      </c>
      <c r="T40" s="5">
        <f t="shared" si="5"/>
        <v>62784.655473675601</v>
      </c>
      <c r="U40" s="5">
        <f t="shared" si="6"/>
        <v>2982.35208308349</v>
      </c>
      <c r="V40"/>
      <c r="W40" s="5">
        <f t="shared" si="20"/>
        <v>97852.01758588558</v>
      </c>
      <c r="X40" s="5">
        <f t="shared" si="14"/>
        <v>6143.6619095030846</v>
      </c>
      <c r="Y40" s="5">
        <f t="shared" si="7"/>
        <v>103995.67949538867</v>
      </c>
      <c r="Z40" s="5">
        <f t="shared" si="8"/>
        <v>4939.9288573749691</v>
      </c>
      <c r="AA40"/>
      <c r="AB40" s="5">
        <f t="shared" si="21"/>
        <v>4094.0451053094616</v>
      </c>
      <c r="AC40" s="5">
        <f t="shared" si="15"/>
        <v>257.04558362530207</v>
      </c>
      <c r="AD40" s="5">
        <f t="shared" si="9"/>
        <v>4351.0906889347634</v>
      </c>
      <c r="AE40" s="5">
        <f t="shared" si="10"/>
        <v>206.68241757367869</v>
      </c>
      <c r="AF40"/>
      <c r="AG40" s="5">
        <f t="shared" si="22"/>
        <v>26676.778998668306</v>
      </c>
      <c r="AH40" s="5">
        <f t="shared" si="16"/>
        <v>1674.9078357888723</v>
      </c>
      <c r="AI40" s="5">
        <f t="shared" si="11"/>
        <v>28351.686834457178</v>
      </c>
      <c r="AJ40" s="5">
        <f t="shared" si="12"/>
        <v>1346.7416783886995</v>
      </c>
    </row>
    <row r="41" spans="1:36" x14ac:dyDescent="0.25">
      <c r="A41" s="29">
        <v>14519</v>
      </c>
      <c r="D41" s="3">
        <v>106800</v>
      </c>
      <c r="E41" s="3">
        <f t="shared" si="0"/>
        <v>106800</v>
      </c>
      <c r="F41" s="3">
        <v>112831</v>
      </c>
      <c r="I41" s="5">
        <f t="shared" si="1"/>
        <v>18682.215043399348</v>
      </c>
      <c r="J41" s="5">
        <f t="shared" si="2"/>
        <v>18682.215043399348</v>
      </c>
      <c r="K41" s="5">
        <f t="shared" si="1"/>
        <v>19737.200426608535</v>
      </c>
      <c r="L41"/>
      <c r="N41" s="5">
        <f t="shared" si="17"/>
        <v>9713.0018139699769</v>
      </c>
      <c r="O41" s="5">
        <f t="shared" si="3"/>
        <v>9713.0018139699769</v>
      </c>
      <c r="P41" s="5">
        <f t="shared" si="4"/>
        <v>10261.4953901877</v>
      </c>
      <c r="Q41"/>
      <c r="S41" s="5">
        <f t="shared" si="13"/>
        <v>2822.9405258600627</v>
      </c>
      <c r="T41" s="5">
        <f t="shared" si="5"/>
        <v>2822.9405258600627</v>
      </c>
      <c r="U41" s="5">
        <f t="shared" si="6"/>
        <v>2982.35208308349</v>
      </c>
      <c r="V41"/>
      <c r="X41" s="5">
        <f t="shared" si="14"/>
        <v>4675.8816457148014</v>
      </c>
      <c r="Y41" s="5">
        <f t="shared" si="7"/>
        <v>4675.8816457148014</v>
      </c>
      <c r="Z41" s="5">
        <f t="shared" si="8"/>
        <v>4939.9288573749691</v>
      </c>
      <c r="AA41"/>
      <c r="AC41" s="5">
        <f t="shared" si="15"/>
        <v>195.63490704566019</v>
      </c>
      <c r="AD41" s="5">
        <f t="shared" si="9"/>
        <v>195.63490704566019</v>
      </c>
      <c r="AE41" s="5">
        <f t="shared" si="10"/>
        <v>206.68241757367869</v>
      </c>
      <c r="AF41"/>
      <c r="AH41" s="5">
        <f t="shared" si="16"/>
        <v>1274.7561508088479</v>
      </c>
      <c r="AI41" s="5">
        <f t="shared" si="11"/>
        <v>1274.7561508088479</v>
      </c>
      <c r="AJ41" s="5">
        <f t="shared" si="12"/>
        <v>1346.7416783886995</v>
      </c>
    </row>
    <row r="42" spans="1:36" x14ac:dyDescent="0.25">
      <c r="A42" s="29">
        <v>14702</v>
      </c>
      <c r="C42" s="3">
        <v>2305000</v>
      </c>
      <c r="D42" s="3">
        <v>106800</v>
      </c>
      <c r="E42" s="3">
        <f t="shared" si="0"/>
        <v>2411800</v>
      </c>
      <c r="F42" s="3">
        <v>112831</v>
      </c>
      <c r="H42" s="5">
        <f>+M42+R42+W42+AB42+AG42</f>
        <v>403206.98197598779</v>
      </c>
      <c r="I42" s="5">
        <f t="shared" si="1"/>
        <v>18682.215043399348</v>
      </c>
      <c r="J42" s="5">
        <f t="shared" si="2"/>
        <v>421889.19701938715</v>
      </c>
      <c r="K42" s="5">
        <f t="shared" si="1"/>
        <v>19737.200426608535</v>
      </c>
      <c r="L42"/>
      <c r="M42" s="5">
        <f t="shared" si="18"/>
        <v>209629.86124719845</v>
      </c>
      <c r="N42" s="5">
        <f t="shared" si="17"/>
        <v>9713.0018139699769</v>
      </c>
      <c r="O42" s="5">
        <f t="shared" si="3"/>
        <v>219342.86306116843</v>
      </c>
      <c r="P42" s="5">
        <f t="shared" si="4"/>
        <v>10261.4953901877</v>
      </c>
      <c r="Q42"/>
      <c r="R42" s="5">
        <f t="shared" si="19"/>
        <v>60925.823147073454</v>
      </c>
      <c r="S42" s="5">
        <f t="shared" si="13"/>
        <v>2822.9405258600627</v>
      </c>
      <c r="T42" s="5">
        <f t="shared" si="5"/>
        <v>63748.763672933514</v>
      </c>
      <c r="U42" s="5">
        <f t="shared" si="6"/>
        <v>2982.35208308349</v>
      </c>
      <c r="V42"/>
      <c r="W42" s="5">
        <f t="shared" si="20"/>
        <v>100916.73402034285</v>
      </c>
      <c r="X42" s="5">
        <f t="shared" si="14"/>
        <v>4675.8816457148014</v>
      </c>
      <c r="Y42" s="5">
        <f t="shared" si="7"/>
        <v>105592.61566605765</v>
      </c>
      <c r="Z42" s="5">
        <f t="shared" si="8"/>
        <v>4939.9288573749691</v>
      </c>
      <c r="AA42"/>
      <c r="AB42" s="5">
        <f t="shared" si="21"/>
        <v>4222.27023165025</v>
      </c>
      <c r="AC42" s="5">
        <f t="shared" si="15"/>
        <v>195.63490704566019</v>
      </c>
      <c r="AD42" s="5">
        <f t="shared" si="9"/>
        <v>4417.90513869591</v>
      </c>
      <c r="AE42" s="5">
        <f t="shared" si="10"/>
        <v>206.68241757367869</v>
      </c>
      <c r="AF42"/>
      <c r="AG42" s="5">
        <f t="shared" si="22"/>
        <v>27512.293329722794</v>
      </c>
      <c r="AH42" s="5">
        <f t="shared" si="16"/>
        <v>1274.7561508088479</v>
      </c>
      <c r="AI42" s="5">
        <f t="shared" si="11"/>
        <v>28787.049480531641</v>
      </c>
      <c r="AJ42" s="5">
        <f t="shared" si="12"/>
        <v>1346.7416783886995</v>
      </c>
    </row>
    <row r="43" spans="1:36" x14ac:dyDescent="0.25">
      <c r="A43" s="29">
        <v>14885</v>
      </c>
      <c r="D43" s="3">
        <v>72225</v>
      </c>
      <c r="E43" s="3">
        <f t="shared" si="0"/>
        <v>72225</v>
      </c>
      <c r="F43" s="3">
        <v>112831</v>
      </c>
      <c r="I43" s="5">
        <f t="shared" si="1"/>
        <v>12634.110313759531</v>
      </c>
      <c r="J43" s="5">
        <f t="shared" si="2"/>
        <v>12634.110313759531</v>
      </c>
      <c r="K43" s="5">
        <f t="shared" si="1"/>
        <v>19737.200426608535</v>
      </c>
      <c r="L43"/>
      <c r="N43" s="5">
        <f t="shared" si="17"/>
        <v>6568.5538952619991</v>
      </c>
      <c r="O43" s="5">
        <f t="shared" si="3"/>
        <v>6568.5538952619991</v>
      </c>
      <c r="P43" s="5">
        <f t="shared" si="4"/>
        <v>10261.4953901877</v>
      </c>
      <c r="Q43"/>
      <c r="S43" s="5">
        <f t="shared" si="13"/>
        <v>1909.0531786539609</v>
      </c>
      <c r="T43" s="5">
        <f t="shared" si="5"/>
        <v>1909.0531786539609</v>
      </c>
      <c r="U43" s="5">
        <f t="shared" si="6"/>
        <v>2982.35208308349</v>
      </c>
      <c r="V43"/>
      <c r="X43" s="5">
        <f t="shared" si="14"/>
        <v>3162.1306354096582</v>
      </c>
      <c r="Y43" s="5">
        <f t="shared" si="7"/>
        <v>3162.1306354096582</v>
      </c>
      <c r="Z43" s="5">
        <f t="shared" si="8"/>
        <v>4939.9288573749691</v>
      </c>
      <c r="AA43"/>
      <c r="AC43" s="5">
        <f t="shared" si="15"/>
        <v>132.30085357090641</v>
      </c>
      <c r="AD43" s="5">
        <f t="shared" si="9"/>
        <v>132.30085357090641</v>
      </c>
      <c r="AE43" s="5">
        <f t="shared" si="10"/>
        <v>206.68241757367869</v>
      </c>
      <c r="AF43"/>
      <c r="AH43" s="5">
        <f t="shared" si="16"/>
        <v>862.07175086300595</v>
      </c>
      <c r="AI43" s="5">
        <f t="shared" si="11"/>
        <v>862.07175086300595</v>
      </c>
      <c r="AJ43" s="5">
        <f t="shared" si="12"/>
        <v>1346.7416783886995</v>
      </c>
    </row>
    <row r="44" spans="1:36" x14ac:dyDescent="0.25">
      <c r="A44" s="29">
        <v>15067</v>
      </c>
      <c r="C44" s="3">
        <v>2370000</v>
      </c>
      <c r="D44" s="3">
        <v>72225</v>
      </c>
      <c r="E44" s="3">
        <f t="shared" si="0"/>
        <v>2442225</v>
      </c>
      <c r="F44" s="3">
        <v>112831</v>
      </c>
      <c r="H44" s="5">
        <f>+M44+R44+W44+AB44+AG44</f>
        <v>414577.24394060357</v>
      </c>
      <c r="I44" s="5">
        <f t="shared" si="1"/>
        <v>12634.110313759531</v>
      </c>
      <c r="J44" s="5">
        <f t="shared" si="2"/>
        <v>427211.3542543631</v>
      </c>
      <c r="K44" s="5">
        <f t="shared" si="1"/>
        <v>19737.200426608535</v>
      </c>
      <c r="L44"/>
      <c r="M44" s="5">
        <f t="shared" si="18"/>
        <v>215541.33238865959</v>
      </c>
      <c r="N44" s="5">
        <f t="shared" si="17"/>
        <v>6568.5538952619991</v>
      </c>
      <c r="O44" s="5">
        <f t="shared" si="3"/>
        <v>222109.8862839216</v>
      </c>
      <c r="P44" s="5">
        <f t="shared" si="4"/>
        <v>10261.4953901877</v>
      </c>
      <c r="Q44"/>
      <c r="R44" s="5">
        <f t="shared" si="19"/>
        <v>62643.904927793526</v>
      </c>
      <c r="S44" s="5">
        <f t="shared" si="13"/>
        <v>1909.0531786539609</v>
      </c>
      <c r="T44" s="5">
        <f t="shared" si="5"/>
        <v>64552.958106447484</v>
      </c>
      <c r="U44" s="5">
        <f t="shared" si="6"/>
        <v>2982.35208308349</v>
      </c>
      <c r="V44"/>
      <c r="W44" s="5">
        <f t="shared" si="20"/>
        <v>103762.54213805316</v>
      </c>
      <c r="X44" s="5">
        <f t="shared" si="14"/>
        <v>3162.1306354096582</v>
      </c>
      <c r="Y44" s="5">
        <f t="shared" si="7"/>
        <v>106924.67277346282</v>
      </c>
      <c r="Z44" s="5">
        <f t="shared" si="8"/>
        <v>4939.9288573749691</v>
      </c>
      <c r="AA44"/>
      <c r="AB44" s="5">
        <f t="shared" si="21"/>
        <v>4341.3364203952679</v>
      </c>
      <c r="AC44" s="5">
        <f t="shared" si="15"/>
        <v>132.30085357090641</v>
      </c>
      <c r="AD44" s="5">
        <f t="shared" si="9"/>
        <v>4473.6372739661747</v>
      </c>
      <c r="AE44" s="5">
        <f t="shared" si="10"/>
        <v>206.68241757367869</v>
      </c>
      <c r="AF44"/>
      <c r="AG44" s="5">
        <f t="shared" si="22"/>
        <v>28288.12806570196</v>
      </c>
      <c r="AH44" s="5">
        <f t="shared" si="16"/>
        <v>862.07175086300595</v>
      </c>
      <c r="AI44" s="5">
        <f t="shared" si="11"/>
        <v>29150.199816564964</v>
      </c>
      <c r="AJ44" s="5">
        <f t="shared" si="12"/>
        <v>1346.7416783886995</v>
      </c>
    </row>
    <row r="45" spans="1:36" x14ac:dyDescent="0.25">
      <c r="A45" s="29">
        <v>15250</v>
      </c>
      <c r="D45" s="3">
        <v>36675</v>
      </c>
      <c r="E45" s="3">
        <f t="shared" si="0"/>
        <v>36675</v>
      </c>
      <c r="F45" s="3">
        <v>112831</v>
      </c>
      <c r="I45" s="5">
        <f t="shared" si="1"/>
        <v>6415.4516546504774</v>
      </c>
      <c r="J45" s="5">
        <f t="shared" si="2"/>
        <v>6415.4516546504774</v>
      </c>
      <c r="K45" s="5">
        <f t="shared" si="1"/>
        <v>19737.200426608535</v>
      </c>
      <c r="L45"/>
      <c r="N45" s="5">
        <f t="shared" si="17"/>
        <v>3335.4339094321053</v>
      </c>
      <c r="O45" s="5">
        <f t="shared" si="3"/>
        <v>3335.4339094321053</v>
      </c>
      <c r="P45" s="5">
        <f t="shared" si="4"/>
        <v>10261.4953901877</v>
      </c>
      <c r="Q45"/>
      <c r="S45" s="5">
        <f t="shared" si="13"/>
        <v>969.3946047370581</v>
      </c>
      <c r="T45" s="5">
        <f t="shared" si="5"/>
        <v>969.3946047370581</v>
      </c>
      <c r="U45" s="5">
        <f t="shared" si="6"/>
        <v>2982.35208308349</v>
      </c>
      <c r="V45"/>
      <c r="X45" s="5">
        <f t="shared" si="14"/>
        <v>1605.6925033388607</v>
      </c>
      <c r="Y45" s="5">
        <f t="shared" si="7"/>
        <v>1605.6925033388607</v>
      </c>
      <c r="Z45" s="5">
        <f t="shared" si="8"/>
        <v>4939.9288573749691</v>
      </c>
      <c r="AA45"/>
      <c r="AC45" s="5">
        <f t="shared" si="15"/>
        <v>67.180807264977403</v>
      </c>
      <c r="AD45" s="5">
        <f t="shared" si="9"/>
        <v>67.180807264977403</v>
      </c>
      <c r="AE45" s="5">
        <f t="shared" si="10"/>
        <v>206.68241757367869</v>
      </c>
      <c r="AF45"/>
      <c r="AH45" s="5">
        <f t="shared" si="16"/>
        <v>437.74982987747654</v>
      </c>
      <c r="AI45" s="5">
        <f t="shared" si="11"/>
        <v>437.74982987747654</v>
      </c>
      <c r="AJ45" s="5">
        <f t="shared" si="12"/>
        <v>1346.7416783886995</v>
      </c>
    </row>
    <row r="46" spans="1:36" x14ac:dyDescent="0.25">
      <c r="A46" s="29">
        <v>15432</v>
      </c>
      <c r="C46" s="3">
        <v>2445000</v>
      </c>
      <c r="D46" s="3">
        <v>36675</v>
      </c>
      <c r="E46" s="3">
        <f t="shared" si="0"/>
        <v>2481675</v>
      </c>
      <c r="F46" s="3">
        <v>112831</v>
      </c>
      <c r="H46" s="5">
        <f>+M46+R46+W46+AB46+AG46</f>
        <v>427696.77697669854</v>
      </c>
      <c r="I46" s="5">
        <f t="shared" si="1"/>
        <v>6415.4516546504774</v>
      </c>
      <c r="J46" s="5">
        <f t="shared" si="2"/>
        <v>434112.22863134905</v>
      </c>
      <c r="K46" s="5">
        <f t="shared" si="1"/>
        <v>19737.200426608535</v>
      </c>
      <c r="L46"/>
      <c r="M46" s="5">
        <f t="shared" si="18"/>
        <v>222362.26062880704</v>
      </c>
      <c r="N46" s="5">
        <f t="shared" si="17"/>
        <v>3335.4339094321053</v>
      </c>
      <c r="O46" s="5">
        <f t="shared" si="3"/>
        <v>225697.69453823916</v>
      </c>
      <c r="P46" s="5">
        <f t="shared" si="4"/>
        <v>10261.4953901877</v>
      </c>
      <c r="Q46"/>
      <c r="R46" s="5">
        <f t="shared" si="19"/>
        <v>64626.306982470538</v>
      </c>
      <c r="S46" s="5">
        <f t="shared" si="13"/>
        <v>969.3946047370581</v>
      </c>
      <c r="T46" s="5">
        <f t="shared" si="5"/>
        <v>65595.701587207601</v>
      </c>
      <c r="U46" s="5">
        <f t="shared" si="6"/>
        <v>2982.35208308349</v>
      </c>
      <c r="V46"/>
      <c r="W46" s="5">
        <f t="shared" si="20"/>
        <v>107046.16688925738</v>
      </c>
      <c r="X46" s="5">
        <f t="shared" si="14"/>
        <v>1605.6925033388607</v>
      </c>
      <c r="Y46" s="5">
        <f t="shared" si="7"/>
        <v>108651.85939259623</v>
      </c>
      <c r="Z46" s="5">
        <f t="shared" si="8"/>
        <v>4939.9288573749691</v>
      </c>
      <c r="AA46"/>
      <c r="AB46" s="5">
        <f t="shared" si="21"/>
        <v>4478.7204843318268</v>
      </c>
      <c r="AC46" s="5">
        <f t="shared" si="15"/>
        <v>67.180807264977403</v>
      </c>
      <c r="AD46" s="5">
        <f t="shared" si="9"/>
        <v>4545.9012915968042</v>
      </c>
      <c r="AE46" s="5">
        <f t="shared" si="10"/>
        <v>206.68241757367869</v>
      </c>
      <c r="AF46"/>
      <c r="AG46" s="5">
        <f t="shared" si="22"/>
        <v>29183.32199183177</v>
      </c>
      <c r="AH46" s="5">
        <f t="shared" si="16"/>
        <v>437.74982987747654</v>
      </c>
      <c r="AI46" s="5">
        <f t="shared" si="11"/>
        <v>29621.071821709247</v>
      </c>
      <c r="AJ46" s="5">
        <f t="shared" si="12"/>
        <v>1346.7416783886995</v>
      </c>
    </row>
    <row r="47" spans="1:36" x14ac:dyDescent="0.25">
      <c r="H47"/>
      <c r="I47"/>
      <c r="J47"/>
      <c r="K47"/>
      <c r="L47"/>
      <c r="M47"/>
      <c r="N47"/>
      <c r="O47"/>
      <c r="P47"/>
      <c r="Q47"/>
      <c r="R47"/>
      <c r="S47"/>
      <c r="T47"/>
      <c r="U47"/>
      <c r="V47"/>
      <c r="W47"/>
      <c r="X47"/>
      <c r="Y47"/>
      <c r="Z47"/>
      <c r="AA47"/>
      <c r="AB47"/>
      <c r="AC47"/>
      <c r="AE47"/>
      <c r="AF47"/>
      <c r="AG47"/>
      <c r="AH47"/>
    </row>
    <row r="48" spans="1:36" ht="13.8" thickBot="1" x14ac:dyDescent="0.3">
      <c r="C48" s="32">
        <f>SUM(C9:C47)</f>
        <v>34625000</v>
      </c>
      <c r="D48" s="32">
        <f>SUM(D9:D47)</f>
        <v>13181200</v>
      </c>
      <c r="E48" s="32">
        <f>SUM(E9:E47)</f>
        <v>47806200</v>
      </c>
      <c r="F48" s="32">
        <f>SUM(F9:F47)</f>
        <v>4287567</v>
      </c>
      <c r="H48" s="32">
        <f>SUM(H9:H47)</f>
        <v>6041388.5851716828</v>
      </c>
      <c r="I48" s="32">
        <f>SUM(I9:I47)</f>
        <v>2249519.6207259418</v>
      </c>
      <c r="J48" s="32">
        <f>SUM(J9:J47)</f>
        <v>8290908.2058976237</v>
      </c>
      <c r="K48" s="32">
        <f>SUM(K9:K47)</f>
        <v>740406.25115373195</v>
      </c>
      <c r="M48" s="32">
        <f>SUM(M9:M47)</f>
        <v>3133399.1763058924</v>
      </c>
      <c r="N48" s="32">
        <f>SUM(N9:N47)</f>
        <v>1156849.5882627452</v>
      </c>
      <c r="O48" s="32">
        <f>SUM(O9:O47)</f>
        <v>4290248.7645686362</v>
      </c>
      <c r="P48" s="32">
        <f>SUM(P9:P47)</f>
        <v>382774.10015268275</v>
      </c>
      <c r="R48" s="32">
        <f>SUM(R9:R47)</f>
        <v>915250.97475928278</v>
      </c>
      <c r="S48" s="32">
        <f>SUM(S9:S47)</f>
        <v>344226.12271061813</v>
      </c>
      <c r="T48" s="32">
        <f>SUM(T9:T47)</f>
        <v>1259477.0974699012</v>
      </c>
      <c r="U48" s="32">
        <f>SUM(U9:U47)</f>
        <v>112615.09734786888</v>
      </c>
      <c r="W48" s="32">
        <f>SUM(W9:W47)</f>
        <v>1516009.7050913414</v>
      </c>
      <c r="X48" s="32">
        <f>SUM(X9:X47)</f>
        <v>571331.52313868923</v>
      </c>
      <c r="Y48" s="32">
        <f>SUM(Y9:Y47)</f>
        <v>2087341.2282300317</v>
      </c>
      <c r="Z48" s="32">
        <f>SUM(Z9:Z47)</f>
        <v>186732.30540870203</v>
      </c>
      <c r="AB48" s="32">
        <f>SUM(AB9:AB47)</f>
        <v>63428.555341572275</v>
      </c>
      <c r="AC48" s="32">
        <f>SUM(AC9:AC47)</f>
        <v>22983.43531847361</v>
      </c>
      <c r="AD48" s="32">
        <f>SUM(AD9:AD47)</f>
        <v>86411.990660045893</v>
      </c>
      <c r="AE48" s="32">
        <f>SUM(AE9:AE47)</f>
        <v>7655.4629401046777</v>
      </c>
      <c r="AG48" s="32">
        <f>SUM(AG9:AG47)</f>
        <v>413300.1736735935</v>
      </c>
      <c r="AH48" s="32">
        <f>SUM(AH9:AH47)</f>
        <v>154128.95129541506</v>
      </c>
      <c r="AI48" s="32">
        <f>SUM(AI9:AI47)</f>
        <v>567429.12496900838</v>
      </c>
      <c r="AJ48" s="32">
        <f>SUM(AJ9:AJ47)</f>
        <v>50629.285304373203</v>
      </c>
    </row>
    <row r="49" spans="3:4" ht="13.8" thickTop="1" x14ac:dyDescent="0.25">
      <c r="C49"/>
      <c r="D49"/>
    </row>
    <row r="50" spans="3:4" x14ac:dyDescent="0.25">
      <c r="C50"/>
      <c r="D50"/>
    </row>
    <row r="52" spans="3:4" x14ac:dyDescent="0.25">
      <c r="C52"/>
      <c r="D52"/>
    </row>
    <row r="53" spans="3:4" x14ac:dyDescent="0.25">
      <c r="C53"/>
      <c r="D53"/>
    </row>
    <row r="54" spans="3:4" x14ac:dyDescent="0.25">
      <c r="C54"/>
      <c r="D54"/>
    </row>
  </sheetData>
  <autoFilter ref="H1:H54" xr:uid="{00000000-0001-0000-0300-000000000000}"/>
  <pageMargins left="0.5" right="0.7" top="0.75" bottom="0.4" header="0.3" footer="0.17"/>
  <pageSetup scale="70" orientation="landscape" r:id="rId1"/>
  <headerFooter>
    <oddFooter>&amp;C&amp;N&amp;R&amp;D</oddFooter>
  </headerFooter>
  <colBreaks count="1" manualBreakCount="1">
    <brk id="17" max="4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4F189-7BD6-444F-88C3-88AB4A226164}">
  <sheetPr>
    <tabColor theme="9" tint="0.59999389629810485"/>
  </sheetPr>
  <dimension ref="A1:BR54"/>
  <sheetViews>
    <sheetView zoomScaleNormal="100" workbookViewId="0">
      <pane xSplit="2" ySplit="8" topLeftCell="C39" activePane="bottomRight" state="frozen"/>
      <selection pane="topRight" activeCell="C1" sqref="C1"/>
      <selection pane="bottomLeft" activeCell="A9" sqref="A9"/>
      <selection pane="bottomRight" activeCell="K51" sqref="K51"/>
    </sheetView>
  </sheetViews>
  <sheetFormatPr defaultRowHeight="13.2" x14ac:dyDescent="0.25"/>
  <cols>
    <col min="1" max="1" width="9.6640625" style="29" customWidth="1"/>
    <col min="2" max="2" width="3.6640625" customWidth="1"/>
    <col min="3" max="6" width="13.6640625" style="3" customWidth="1"/>
    <col min="7" max="7" width="3.6640625" customWidth="1"/>
    <col min="8" max="11" width="13.6640625" style="5" customWidth="1"/>
    <col min="12" max="12" width="3.6640625" style="5" customWidth="1"/>
    <col min="13" max="16" width="12.6640625" style="5" customWidth="1"/>
    <col min="17" max="17" width="3.6640625" style="5" customWidth="1"/>
    <col min="18" max="21" width="13.6640625" style="5" customWidth="1"/>
    <col min="22" max="22" width="3.6640625" style="5" customWidth="1"/>
    <col min="23" max="26" width="13.6640625" style="5" customWidth="1"/>
    <col min="27" max="27" width="3.6640625" style="5" customWidth="1"/>
    <col min="28" max="31" width="13.6640625" style="5" customWidth="1"/>
    <col min="32" max="32" width="3.6640625" style="5" customWidth="1"/>
    <col min="33" max="34" width="12.6640625" style="5" customWidth="1"/>
    <col min="35" max="36" width="14.109375" style="5" customWidth="1"/>
    <col min="37" max="37" width="3.6640625" style="5" customWidth="1"/>
    <col min="38" max="39" width="12.6640625" style="5" customWidth="1"/>
    <col min="40" max="41" width="14.109375" style="5" customWidth="1"/>
    <col min="42" max="42" width="3.6640625" style="5" customWidth="1"/>
    <col min="43" max="44" width="12.6640625" style="5" customWidth="1"/>
    <col min="45" max="46" width="13.77734375" style="5" customWidth="1"/>
    <col min="47" max="47" width="4" style="5" customWidth="1"/>
    <col min="48" max="51" width="13.6640625" style="5" customWidth="1"/>
    <col min="52" max="52" width="3.6640625" style="5" customWidth="1"/>
    <col min="53" max="56" width="13.6640625" style="5" customWidth="1"/>
    <col min="57" max="57" width="3.6640625" style="5" customWidth="1"/>
    <col min="58" max="61" width="13.6640625" style="5" customWidth="1"/>
    <col min="62" max="62" width="3.6640625" style="5" customWidth="1"/>
    <col min="63" max="66" width="13.6640625" style="5" customWidth="1"/>
    <col min="67" max="68" width="3.6640625" style="5" customWidth="1"/>
  </cols>
  <sheetData>
    <row r="1" spans="1:70" x14ac:dyDescent="0.25">
      <c r="A1" s="1"/>
      <c r="B1" s="2"/>
      <c r="H1" s="4" t="s">
        <v>27</v>
      </c>
      <c r="W1" s="4" t="s">
        <v>27</v>
      </c>
      <c r="AL1" s="4" t="s">
        <v>27</v>
      </c>
      <c r="BA1" s="4" t="s">
        <v>27</v>
      </c>
      <c r="BQ1" s="4" t="s">
        <v>27</v>
      </c>
      <c r="BR1" s="4"/>
    </row>
    <row r="2" spans="1:70" x14ac:dyDescent="0.25">
      <c r="A2" s="1"/>
      <c r="B2" s="2"/>
      <c r="H2" s="4" t="s">
        <v>26</v>
      </c>
      <c r="W2" s="4" t="s">
        <v>26</v>
      </c>
      <c r="AL2" s="4" t="s">
        <v>26</v>
      </c>
      <c r="BA2" s="4" t="s">
        <v>26</v>
      </c>
      <c r="BQ2" s="4" t="s">
        <v>26</v>
      </c>
      <c r="BR2" s="4"/>
    </row>
    <row r="3" spans="1:70" x14ac:dyDescent="0.25">
      <c r="A3" s="1"/>
      <c r="B3" s="2"/>
      <c r="H3" s="62" t="s">
        <v>112</v>
      </c>
      <c r="W3" s="62" t="s">
        <v>112</v>
      </c>
      <c r="AL3" s="62" t="s">
        <v>112</v>
      </c>
      <c r="BA3" s="62" t="s">
        <v>112</v>
      </c>
      <c r="BQ3" s="62" t="s">
        <v>112</v>
      </c>
      <c r="BR3" s="62"/>
    </row>
    <row r="4" spans="1:70" x14ac:dyDescent="0.25">
      <c r="A4" s="1"/>
      <c r="B4" s="2"/>
      <c r="C4" s="4"/>
      <c r="D4" s="4"/>
      <c r="T4" s="66"/>
      <c r="U4" s="66"/>
    </row>
    <row r="5" spans="1:70" x14ac:dyDescent="0.25">
      <c r="A5" s="9" t="s">
        <v>0</v>
      </c>
      <c r="C5" s="63" t="s">
        <v>118</v>
      </c>
      <c r="D5" s="10"/>
      <c r="E5" s="11"/>
      <c r="F5" s="386"/>
      <c r="H5" s="59" t="s">
        <v>475</v>
      </c>
      <c r="I5" s="13"/>
      <c r="J5" s="14"/>
      <c r="K5" s="3"/>
      <c r="M5" s="57" t="s">
        <v>28</v>
      </c>
      <c r="N5" s="13"/>
      <c r="O5" s="14"/>
      <c r="P5" s="3"/>
      <c r="Q5" s="3"/>
      <c r="R5" s="34" t="s">
        <v>5</v>
      </c>
      <c r="S5" s="13"/>
      <c r="T5" s="14"/>
      <c r="U5" s="3"/>
      <c r="W5" s="34" t="s">
        <v>82</v>
      </c>
      <c r="X5" s="13"/>
      <c r="Y5" s="14"/>
      <c r="Z5" s="3"/>
      <c r="AB5" s="12" t="s">
        <v>6</v>
      </c>
      <c r="AC5" s="13"/>
      <c r="AD5" s="14"/>
      <c r="AE5" s="3"/>
      <c r="AG5" s="12" t="s">
        <v>83</v>
      </c>
      <c r="AH5" s="13"/>
      <c r="AI5" s="14"/>
      <c r="AJ5" s="3"/>
      <c r="AL5" s="34" t="s">
        <v>67</v>
      </c>
      <c r="AM5" s="13"/>
      <c r="AN5" s="14"/>
      <c r="AO5" s="3"/>
      <c r="AQ5" s="12" t="s">
        <v>68</v>
      </c>
      <c r="AR5" s="13"/>
      <c r="AS5" s="14"/>
      <c r="AT5" s="3"/>
      <c r="AV5" s="12" t="s">
        <v>69</v>
      </c>
      <c r="AW5" s="13"/>
      <c r="AX5" s="14"/>
      <c r="AY5" s="3"/>
      <c r="BA5" s="12" t="s">
        <v>70</v>
      </c>
      <c r="BB5" s="13"/>
      <c r="BC5" s="14"/>
      <c r="BD5" s="3"/>
      <c r="BF5" s="12" t="s">
        <v>71</v>
      </c>
      <c r="BG5" s="13"/>
      <c r="BH5" s="14"/>
      <c r="BI5" s="3"/>
      <c r="BK5" s="12" t="s">
        <v>72</v>
      </c>
      <c r="BL5" s="13"/>
      <c r="BM5" s="14"/>
      <c r="BN5" s="3"/>
    </row>
    <row r="6" spans="1:70" x14ac:dyDescent="0.25">
      <c r="A6" s="19" t="s">
        <v>1</v>
      </c>
      <c r="B6" s="8"/>
      <c r="C6" s="318" t="s">
        <v>117</v>
      </c>
      <c r="D6" s="319"/>
      <c r="E6" s="319"/>
      <c r="F6" s="26" t="s">
        <v>639</v>
      </c>
      <c r="H6" s="20"/>
      <c r="I6" s="20"/>
      <c r="J6" s="20">
        <f>O6+T6+Y6+AD6+AI6+AN6+AS6+AX6+BC6+BH6+BM6</f>
        <v>0.16115002350000004</v>
      </c>
      <c r="K6" s="26" t="s">
        <v>639</v>
      </c>
      <c r="M6" s="35"/>
      <c r="N6" s="8"/>
      <c r="O6" s="22">
        <v>4.7033121500000039E-2</v>
      </c>
      <c r="P6" s="26" t="s">
        <v>639</v>
      </c>
      <c r="Q6" s="55"/>
      <c r="R6" s="35"/>
      <c r="S6" s="8"/>
      <c r="T6" s="22">
        <v>4.6091801999999987E-2</v>
      </c>
      <c r="U6" s="26" t="s">
        <v>639</v>
      </c>
      <c r="W6" s="35"/>
      <c r="X6" s="8"/>
      <c r="Y6" s="22">
        <v>1.0123941250000002E-2</v>
      </c>
      <c r="Z6" s="26" t="s">
        <v>639</v>
      </c>
      <c r="AB6" s="35"/>
      <c r="AC6" s="8"/>
      <c r="AD6" s="22">
        <v>1.5937074999999999E-3</v>
      </c>
      <c r="AE6" s="26" t="s">
        <v>639</v>
      </c>
      <c r="AG6" s="35"/>
      <c r="AH6" s="21"/>
      <c r="AI6" s="22">
        <v>0</v>
      </c>
      <c r="AJ6" s="26" t="s">
        <v>639</v>
      </c>
      <c r="AL6" s="35"/>
      <c r="AM6" s="21"/>
      <c r="AN6" s="22">
        <v>1.4165117249999996E-2</v>
      </c>
      <c r="AO6" s="26" t="s">
        <v>639</v>
      </c>
      <c r="AQ6" s="35"/>
      <c r="AR6" s="21"/>
      <c r="AS6" s="22">
        <v>0</v>
      </c>
      <c r="AT6" s="26" t="s">
        <v>639</v>
      </c>
      <c r="AV6" s="35"/>
      <c r="AW6" s="8"/>
      <c r="AX6" s="22">
        <v>2.1356927500000111E-3</v>
      </c>
      <c r="AY6" s="26" t="s">
        <v>639</v>
      </c>
      <c r="BA6" s="35"/>
      <c r="BB6" s="8"/>
      <c r="BC6" s="22">
        <v>4.6906249999999977E-3</v>
      </c>
      <c r="BD6" s="26" t="s">
        <v>639</v>
      </c>
      <c r="BF6" s="35"/>
      <c r="BG6" s="8"/>
      <c r="BH6" s="22">
        <v>3.2071438250000008E-2</v>
      </c>
      <c r="BI6" s="26" t="s">
        <v>639</v>
      </c>
      <c r="BK6" s="35"/>
      <c r="BL6" s="8"/>
      <c r="BM6" s="22">
        <v>3.2445780000000006E-3</v>
      </c>
      <c r="BN6" s="26" t="s">
        <v>639</v>
      </c>
    </row>
    <row r="7" spans="1:70" x14ac:dyDescent="0.25">
      <c r="A7" s="19"/>
      <c r="B7" s="8"/>
      <c r="C7" s="13"/>
      <c r="D7" s="13"/>
      <c r="E7" s="33"/>
      <c r="F7" s="26" t="s">
        <v>640</v>
      </c>
      <c r="H7" s="20">
        <f>M7+R7+W7+AB7+AG7+AL7+AQ7+AV7+BA7+BF7+BK7</f>
        <v>0.49334278250000013</v>
      </c>
      <c r="I7" s="20">
        <f>N7+S7+X7+AC7+AH7+AM7+AR7+AW7+BB7+BG7+BL7</f>
        <v>0.53756756957854068</v>
      </c>
      <c r="J7" s="79"/>
      <c r="K7" s="26" t="s">
        <v>640</v>
      </c>
      <c r="M7" s="371">
        <v>0.19292683525000004</v>
      </c>
      <c r="N7" s="117">
        <v>0.19402936944634963</v>
      </c>
      <c r="O7" s="22"/>
      <c r="P7" s="26" t="s">
        <v>640</v>
      </c>
      <c r="Q7" s="55"/>
      <c r="R7" s="371">
        <v>0.12585737300000008</v>
      </c>
      <c r="S7" s="117">
        <v>0.12919517991462248</v>
      </c>
      <c r="T7" s="22"/>
      <c r="U7" s="26" t="s">
        <v>640</v>
      </c>
      <c r="W7" s="371">
        <v>4.2301765749999998E-2</v>
      </c>
      <c r="X7" s="117">
        <v>4.2245557170151188E-2</v>
      </c>
      <c r="Y7" s="22"/>
      <c r="Z7" s="26" t="s">
        <v>640</v>
      </c>
      <c r="AB7" s="371">
        <v>3.0922954749999999E-2</v>
      </c>
      <c r="AC7" s="117">
        <v>5.9675277320182303E-2</v>
      </c>
      <c r="AD7" s="22"/>
      <c r="AE7" s="26" t="s">
        <v>640</v>
      </c>
      <c r="AG7" s="371">
        <v>0</v>
      </c>
      <c r="AH7" s="109">
        <v>6.883741041427689E-4</v>
      </c>
      <c r="AI7" s="22"/>
      <c r="AJ7" s="26" t="s">
        <v>640</v>
      </c>
      <c r="AL7" s="371">
        <v>1.8323124500000006E-2</v>
      </c>
      <c r="AM7" s="109">
        <v>1.8298777601276565E-2</v>
      </c>
      <c r="AN7" s="22"/>
      <c r="AO7" s="26" t="s">
        <v>640</v>
      </c>
      <c r="AQ7" s="371">
        <v>1.561500000000003E-3</v>
      </c>
      <c r="AR7" s="109">
        <v>6.4154640935065784E-3</v>
      </c>
      <c r="AS7" s="22"/>
      <c r="AT7" s="26" t="s">
        <v>640</v>
      </c>
      <c r="AV7" s="371">
        <v>6.4427860000000102E-3</v>
      </c>
      <c r="AW7" s="117">
        <v>7.6041163173553826E-3</v>
      </c>
      <c r="AX7" s="22"/>
      <c r="AY7" s="26" t="s">
        <v>640</v>
      </c>
      <c r="BA7" s="371">
        <v>7.9359772499999984E-3</v>
      </c>
      <c r="BB7" s="117">
        <v>8.7495545383208945E-3</v>
      </c>
      <c r="BC7" s="22"/>
      <c r="BD7" s="26" t="s">
        <v>640</v>
      </c>
      <c r="BF7" s="371">
        <v>5.6533039249999986E-2</v>
      </c>
      <c r="BG7" s="117">
        <v>5.8050045474470277E-2</v>
      </c>
      <c r="BH7" s="22"/>
      <c r="BI7" s="26" t="s">
        <v>640</v>
      </c>
      <c r="BK7" s="371">
        <v>1.0537426749999999E-2</v>
      </c>
      <c r="BL7" s="117">
        <v>1.2615853598162644E-2</v>
      </c>
      <c r="BM7" s="22"/>
      <c r="BN7" s="26" t="s">
        <v>640</v>
      </c>
    </row>
    <row r="8" spans="1:70" x14ac:dyDescent="0.25">
      <c r="A8" s="25"/>
      <c r="C8" s="60" t="s">
        <v>2</v>
      </c>
      <c r="D8" s="26" t="s">
        <v>3</v>
      </c>
      <c r="E8" s="26" t="s">
        <v>4</v>
      </c>
      <c r="F8" s="26" t="s">
        <v>4</v>
      </c>
      <c r="H8" s="26" t="s">
        <v>2</v>
      </c>
      <c r="I8" s="26" t="s">
        <v>3</v>
      </c>
      <c r="J8" s="26" t="s">
        <v>4</v>
      </c>
      <c r="K8" s="26" t="s">
        <v>4</v>
      </c>
      <c r="M8" s="26" t="s">
        <v>2</v>
      </c>
      <c r="N8" s="26" t="s">
        <v>3</v>
      </c>
      <c r="O8" s="26" t="s">
        <v>4</v>
      </c>
      <c r="P8" s="26" t="s">
        <v>4</v>
      </c>
      <c r="Q8" s="61"/>
      <c r="R8" s="26" t="s">
        <v>2</v>
      </c>
      <c r="S8" s="26" t="s">
        <v>3</v>
      </c>
      <c r="T8" s="26" t="s">
        <v>4</v>
      </c>
      <c r="U8" s="26" t="s">
        <v>4</v>
      </c>
      <c r="W8" s="26" t="s">
        <v>2</v>
      </c>
      <c r="X8" s="26" t="s">
        <v>3</v>
      </c>
      <c r="Y8" s="26" t="s">
        <v>4</v>
      </c>
      <c r="Z8" s="26" t="s">
        <v>4</v>
      </c>
      <c r="AB8" s="26" t="s">
        <v>2</v>
      </c>
      <c r="AC8" s="26" t="s">
        <v>3</v>
      </c>
      <c r="AD8" s="26" t="s">
        <v>4</v>
      </c>
      <c r="AE8" s="26" t="s">
        <v>4</v>
      </c>
      <c r="AG8" s="26" t="s">
        <v>2</v>
      </c>
      <c r="AH8" s="26" t="s">
        <v>3</v>
      </c>
      <c r="AI8" s="26" t="s">
        <v>4</v>
      </c>
      <c r="AJ8" s="26" t="s">
        <v>4</v>
      </c>
      <c r="AL8" s="26" t="s">
        <v>2</v>
      </c>
      <c r="AM8" s="26" t="s">
        <v>3</v>
      </c>
      <c r="AN8" s="26" t="s">
        <v>4</v>
      </c>
      <c r="AO8" s="26" t="s">
        <v>4</v>
      </c>
      <c r="AQ8" s="26" t="s">
        <v>2</v>
      </c>
      <c r="AR8" s="26" t="s">
        <v>3</v>
      </c>
      <c r="AS8" s="26" t="s">
        <v>4</v>
      </c>
      <c r="AT8" s="26" t="s">
        <v>4</v>
      </c>
      <c r="AV8" s="26" t="s">
        <v>2</v>
      </c>
      <c r="AW8" s="26" t="s">
        <v>3</v>
      </c>
      <c r="AX8" s="26" t="s">
        <v>4</v>
      </c>
      <c r="AY8" s="26" t="s">
        <v>4</v>
      </c>
      <c r="BA8" s="26" t="s">
        <v>2</v>
      </c>
      <c r="BB8" s="26" t="s">
        <v>3</v>
      </c>
      <c r="BC8" s="26" t="s">
        <v>4</v>
      </c>
      <c r="BD8" s="26" t="s">
        <v>4</v>
      </c>
      <c r="BF8" s="26" t="s">
        <v>2</v>
      </c>
      <c r="BG8" s="26" t="s">
        <v>3</v>
      </c>
      <c r="BH8" s="26" t="s">
        <v>4</v>
      </c>
      <c r="BI8" s="26" t="s">
        <v>4</v>
      </c>
      <c r="BK8" s="26" t="s">
        <v>2</v>
      </c>
      <c r="BL8" s="26" t="s">
        <v>3</v>
      </c>
      <c r="BM8" s="26" t="s">
        <v>4</v>
      </c>
      <c r="BN8" s="26" t="s">
        <v>4</v>
      </c>
    </row>
    <row r="9" spans="1:70" x14ac:dyDescent="0.25">
      <c r="A9" s="29">
        <v>45200</v>
      </c>
      <c r="D9" s="3">
        <v>660450</v>
      </c>
      <c r="E9" s="3">
        <f t="shared" ref="E9:E46" si="0">C9+D9</f>
        <v>660450</v>
      </c>
      <c r="F9" s="3">
        <f>112831-11</f>
        <v>112820</v>
      </c>
      <c r="I9" s="5">
        <f>N9+S9+X9+AC9+AH9+AM9+AR9+AW9+BB9+BG9+BL9</f>
        <v>106431.53302057504</v>
      </c>
      <c r="J9" s="5">
        <f>H9+I9</f>
        <v>106431.53302057504</v>
      </c>
      <c r="K9" s="5">
        <f>P9+U9+Z9+AE9+AJ9+AO9+AT9+AY9+BD9+BI9+BN9</f>
        <v>18180.945651270005</v>
      </c>
      <c r="N9" s="5">
        <f>D9*O6</f>
        <v>31063.025094675024</v>
      </c>
      <c r="O9" s="5">
        <f>M9+N9</f>
        <v>31063.025094675024</v>
      </c>
      <c r="P9" s="5">
        <f>O$6*$F9</f>
        <v>5306.2767676300045</v>
      </c>
      <c r="S9" s="5">
        <f>D9*T6</f>
        <v>30441.330630899993</v>
      </c>
      <c r="T9" s="5">
        <f t="shared" ref="T9:T46" si="1">R9+S9</f>
        <v>30441.330630899993</v>
      </c>
      <c r="U9" s="5">
        <f>T$6*$F9</f>
        <v>5200.0771016399985</v>
      </c>
      <c r="X9" s="5">
        <f>D9*Y6</f>
        <v>6686.3569985625018</v>
      </c>
      <c r="Y9" s="5">
        <f>W9+X9</f>
        <v>6686.3569985625018</v>
      </c>
      <c r="Z9" s="5">
        <f>Y$6*$F9</f>
        <v>1142.1830518250003</v>
      </c>
      <c r="AC9" s="5">
        <f>$D$9*AD6</f>
        <v>1052.5641183749999</v>
      </c>
      <c r="AD9" s="5">
        <f>AB9+AC9</f>
        <v>1052.5641183749999</v>
      </c>
      <c r="AE9" s="5">
        <f>AD$6*$F9</f>
        <v>179.80208014999999</v>
      </c>
      <c r="AI9" s="5">
        <f>AG9+AH9</f>
        <v>0</v>
      </c>
      <c r="AJ9" s="5">
        <f>AI$6*$F9</f>
        <v>0</v>
      </c>
      <c r="AM9" s="5">
        <f>$D$9*AN6</f>
        <v>9355.351687762497</v>
      </c>
      <c r="AN9" s="5">
        <f>AL9+AM9</f>
        <v>9355.351687762497</v>
      </c>
      <c r="AO9" s="5">
        <f>AN$6*$F9</f>
        <v>1598.1085281449996</v>
      </c>
      <c r="AS9" s="5">
        <f>AQ9+AR9</f>
        <v>0</v>
      </c>
      <c r="AT9" s="5">
        <f>AS$6*$F9</f>
        <v>0</v>
      </c>
      <c r="AW9" s="5">
        <f>$D$9*AX6</f>
        <v>1410.5182767375074</v>
      </c>
      <c r="AX9" s="5">
        <f>AV9+AW9</f>
        <v>1410.5182767375074</v>
      </c>
      <c r="AY9" s="5">
        <f>AX$6*$F9</f>
        <v>240.94885605500124</v>
      </c>
      <c r="BB9" s="5">
        <f>$D$9*BC6</f>
        <v>3097.9232812499986</v>
      </c>
      <c r="BC9" s="5">
        <f>BA9+BB9</f>
        <v>3097.9232812499986</v>
      </c>
      <c r="BD9" s="5">
        <f>BC$6*$F9</f>
        <v>529.19631249999975</v>
      </c>
      <c r="BG9" s="5">
        <f>$D$9*BH6</f>
        <v>21181.581392212505</v>
      </c>
      <c r="BH9" s="5">
        <f>BF9+BG9</f>
        <v>21181.581392212505</v>
      </c>
      <c r="BI9" s="5">
        <f>BH$6*$F9</f>
        <v>3618.2996633650009</v>
      </c>
      <c r="BL9" s="5">
        <f>$D$9*BM6</f>
        <v>2142.8815401000002</v>
      </c>
      <c r="BM9" s="5">
        <f>BK9+BL9</f>
        <v>2142.8815401000002</v>
      </c>
      <c r="BN9" s="5">
        <f>BM$6*$F9</f>
        <v>366.05328996000009</v>
      </c>
    </row>
    <row r="10" spans="1:70" x14ac:dyDescent="0.25">
      <c r="A10" s="29">
        <v>45383</v>
      </c>
      <c r="C10" s="3">
        <v>1195000</v>
      </c>
      <c r="D10" s="3">
        <v>660450</v>
      </c>
      <c r="E10" s="3">
        <f t="shared" si="0"/>
        <v>1855450</v>
      </c>
      <c r="F10" s="3">
        <v>112831</v>
      </c>
      <c r="H10" s="5">
        <f t="shared" ref="H10:H46" si="2">M10+R10+W10+AB10+AG10+AL10+AQ10+AV10+BA10+BF10+BK10</f>
        <v>589544.6250875002</v>
      </c>
      <c r="I10" s="5">
        <f>N10+S10+X10+AC10+AH10+AM10+AR10+AW10+BB10+BG10+BL10</f>
        <v>325828.24070212507</v>
      </c>
      <c r="J10" s="5">
        <f>H10+I10</f>
        <v>915372.86578962533</v>
      </c>
      <c r="K10" s="5">
        <f>P10+U10+Z10+AE10+AJ10+AO10+AT10+AY10+BD10+BI10+BN10</f>
        <v>55664.359492257507</v>
      </c>
      <c r="M10" s="5">
        <f>C10*$M$7</f>
        <v>230547.56812375004</v>
      </c>
      <c r="N10" s="5">
        <f>D10*$M$7</f>
        <v>127418.52834086253</v>
      </c>
      <c r="O10" s="5">
        <f>M10+N10</f>
        <v>357966.09646461258</v>
      </c>
      <c r="P10" s="5">
        <f>M$7*$F10</f>
        <v>21768.127748092753</v>
      </c>
      <c r="R10" s="5">
        <f>C10*$R$7</f>
        <v>150399.56073500009</v>
      </c>
      <c r="S10" s="5">
        <f>D10*$R$7</f>
        <v>83122.50199785005</v>
      </c>
      <c r="T10" s="5">
        <f t="shared" si="1"/>
        <v>233522.06273285014</v>
      </c>
      <c r="U10" s="5">
        <f>R$7*$F10</f>
        <v>14200.613252963009</v>
      </c>
      <c r="W10" s="5">
        <f>C10*$W$7</f>
        <v>50550.610071249997</v>
      </c>
      <c r="X10" s="5">
        <f>D10*$W$7</f>
        <v>27938.2011895875</v>
      </c>
      <c r="Y10" s="5">
        <f>W10+X10</f>
        <v>78488.811260837494</v>
      </c>
      <c r="Z10" s="5">
        <f>W$7*$F10</f>
        <v>4772.9505313382497</v>
      </c>
      <c r="AB10" s="66">
        <f>C10*$AB$7</f>
        <v>36952.930926249996</v>
      </c>
      <c r="AC10" s="66">
        <f>D10*$AB$7</f>
        <v>20423.065464637501</v>
      </c>
      <c r="AD10" s="5">
        <f>AB10+AC10</f>
        <v>57375.996390887492</v>
      </c>
      <c r="AE10" s="5">
        <f>AB$7*$F10</f>
        <v>3489.0679073972497</v>
      </c>
      <c r="AI10" s="5">
        <f>AG10+AH10</f>
        <v>0</v>
      </c>
      <c r="AJ10" s="5">
        <f>AG$7*$F10</f>
        <v>0</v>
      </c>
      <c r="AL10" s="5">
        <f>C10*$AL$7</f>
        <v>21896.133777500007</v>
      </c>
      <c r="AM10" s="5">
        <f>D10*$AL$7</f>
        <v>12101.507576025004</v>
      </c>
      <c r="AN10" s="5">
        <f>AL10+AM10</f>
        <v>33997.64135352501</v>
      </c>
      <c r="AO10" s="5">
        <f>AL$7*$F10</f>
        <v>2067.4164604595007</v>
      </c>
      <c r="AQ10" s="5">
        <f>C10*$AQ$7</f>
        <v>1865.9925000000035</v>
      </c>
      <c r="AR10" s="5">
        <f>D10*$AQ$7</f>
        <v>1031.292675000002</v>
      </c>
      <c r="AS10" s="5">
        <f>AQ10+AR10</f>
        <v>2897.2851750000054</v>
      </c>
      <c r="AT10" s="5">
        <f>AQ$7*$F10</f>
        <v>176.18560650000035</v>
      </c>
      <c r="AV10" s="5">
        <f>C10*$AV$7</f>
        <v>7699.1292700000122</v>
      </c>
      <c r="AW10" s="5">
        <f>D10*$AV$7</f>
        <v>4255.1380137000069</v>
      </c>
      <c r="AX10" s="5">
        <f>AV10+AW10</f>
        <v>11954.267283700019</v>
      </c>
      <c r="AY10" s="5">
        <f>AV$7*$F10</f>
        <v>726.94598716600115</v>
      </c>
      <c r="BA10" s="5">
        <f>C10*$BA$7</f>
        <v>9483.4928137499974</v>
      </c>
      <c r="BB10" s="5">
        <f>D10*$BA$7</f>
        <v>5241.316174762499</v>
      </c>
      <c r="BC10" s="5">
        <f>BA10+BB10</f>
        <v>14724.808988512497</v>
      </c>
      <c r="BD10" s="5">
        <f>BA$7*$F10</f>
        <v>895.42424909474983</v>
      </c>
      <c r="BF10" s="5">
        <f>C10*$BF$7</f>
        <v>67556.981903749984</v>
      </c>
      <c r="BG10" s="5">
        <f>D10*$BF$7</f>
        <v>37337.245772662493</v>
      </c>
      <c r="BH10" s="5">
        <f>BF10+BG10</f>
        <v>104894.22767641247</v>
      </c>
      <c r="BI10" s="5">
        <f>BF$7*$F10</f>
        <v>6378.6793516167481</v>
      </c>
      <c r="BK10" s="5">
        <f>C10*$BK$7</f>
        <v>12592.224966249998</v>
      </c>
      <c r="BL10" s="5">
        <f>D10*$BK$7</f>
        <v>6959.4434970374987</v>
      </c>
      <c r="BM10" s="5">
        <f>BK10+BL10</f>
        <v>19551.668463287497</v>
      </c>
      <c r="BN10" s="5">
        <f>BK$7*$F10</f>
        <v>1188.9483976292499</v>
      </c>
    </row>
    <row r="11" spans="1:70" x14ac:dyDescent="0.25">
      <c r="A11" s="29">
        <v>45566</v>
      </c>
      <c r="D11" s="3">
        <v>630575</v>
      </c>
      <c r="E11" s="3">
        <f t="shared" si="0"/>
        <v>630575</v>
      </c>
      <c r="F11" s="3">
        <v>112831</v>
      </c>
      <c r="H11" s="5">
        <f t="shared" si="2"/>
        <v>0</v>
      </c>
      <c r="I11" s="5">
        <f>N11+S11+X11+AC11+AH11+AM11+AR11+AW11+BB11+BG11+BL11</f>
        <v>338976.67018698825</v>
      </c>
      <c r="J11" s="5">
        <f>H11+I11</f>
        <v>338976.67018698825</v>
      </c>
      <c r="K11" s="5">
        <f>P11+U11+Z11+AE11+AJ11+AO11+AT11+AY11+BD11+BI11+BN11</f>
        <v>60654.286443116325</v>
      </c>
      <c r="N11" s="5">
        <f>D11*$N$7</f>
        <v>122350.06963863192</v>
      </c>
      <c r="O11" s="5">
        <f t="shared" ref="O11:O46" si="3">M11+N11</f>
        <v>122350.06963863192</v>
      </c>
      <c r="P11" s="5">
        <f>N$7*$F11</f>
        <v>21892.527784001075</v>
      </c>
      <c r="R11" s="5">
        <f>C11*$S$7</f>
        <v>0</v>
      </c>
      <c r="S11" s="5">
        <f>D11*$S$7</f>
        <v>81467.250574663078</v>
      </c>
      <c r="T11" s="5">
        <f t="shared" si="1"/>
        <v>81467.250574663078</v>
      </c>
      <c r="U11" s="5">
        <f>S$7*$F11</f>
        <v>14577.221344946769</v>
      </c>
      <c r="W11" s="5">
        <f>C11*$X$7</f>
        <v>0</v>
      </c>
      <c r="X11" s="5">
        <f>D11*$X$7</f>
        <v>26638.992212568086</v>
      </c>
      <c r="Y11" s="5">
        <f>W11+X11</f>
        <v>26638.992212568086</v>
      </c>
      <c r="Z11" s="5">
        <f>X$7*$F11</f>
        <v>4766.6084610653288</v>
      </c>
      <c r="AB11" s="66">
        <f>C11*$AC$7</f>
        <v>0</v>
      </c>
      <c r="AC11" s="66">
        <f>D11*$AC$7</f>
        <v>37629.737996173957</v>
      </c>
      <c r="AD11" s="5">
        <f>AB11+AC11</f>
        <v>37629.737996173957</v>
      </c>
      <c r="AE11" s="5">
        <f>AC$7*$F11</f>
        <v>6733.2212153134897</v>
      </c>
      <c r="AG11" s="5">
        <f>C11*$AH$7</f>
        <v>0</v>
      </c>
      <c r="AH11" s="5">
        <f>D11*$AH$7</f>
        <v>434.07150071982647</v>
      </c>
      <c r="AI11" s="5">
        <f>AG11+AH11</f>
        <v>434.07150071982647</v>
      </c>
      <c r="AJ11" s="5">
        <f>AH$7*$F11</f>
        <v>77.669938544532755</v>
      </c>
      <c r="AL11" s="5">
        <f t="shared" ref="AL11:AL46" si="4">C11*$AM$7</f>
        <v>0</v>
      </c>
      <c r="AM11" s="5">
        <f t="shared" ref="AM11:AM46" si="5">D11*$AM$7</f>
        <v>11538.75168592497</v>
      </c>
      <c r="AN11" s="5">
        <f>AL11+AM11</f>
        <v>11538.75168592497</v>
      </c>
      <c r="AO11" s="5">
        <f>AM$7*$F11</f>
        <v>2064.669375529636</v>
      </c>
      <c r="AQ11" s="5">
        <f t="shared" ref="AQ11:AQ46" si="6">C11*$AR$7</f>
        <v>0</v>
      </c>
      <c r="AR11" s="5">
        <f t="shared" ref="AR11:AR46" si="7">D11*$AR$7</f>
        <v>4045.4312707629106</v>
      </c>
      <c r="AS11" s="5">
        <f>AQ11+AR11</f>
        <v>4045.4312707629106</v>
      </c>
      <c r="AT11" s="5">
        <f>AR$7*$F11</f>
        <v>723.86322913444076</v>
      </c>
      <c r="AV11" s="5">
        <f t="shared" ref="AV11:AV46" si="8">C11*$AW$7</f>
        <v>0</v>
      </c>
      <c r="AW11" s="5">
        <f t="shared" ref="AW11:AW46" si="9">D11*$AW$7</f>
        <v>4794.9656468163703</v>
      </c>
      <c r="AX11" s="5">
        <f>AV11+AW11</f>
        <v>4794.9656468163703</v>
      </c>
      <c r="AY11" s="5">
        <f>AW$7*$F11</f>
        <v>857.98004820352514</v>
      </c>
      <c r="BA11" s="5">
        <f t="shared" ref="BA11:BA46" si="10">C11*$BB$7</f>
        <v>0</v>
      </c>
      <c r="BB11" s="5">
        <f t="shared" ref="BB11:BB46" si="11">D11*$BB$7</f>
        <v>5517.2503530016984</v>
      </c>
      <c r="BC11" s="5">
        <f>BA11+BB11</f>
        <v>5517.2503530016984</v>
      </c>
      <c r="BD11" s="5">
        <f>BB$7*$F11</f>
        <v>987.22098811328487</v>
      </c>
      <c r="BF11" s="5">
        <f t="shared" ref="BF11:BF46" si="12">C11*$BG$7</f>
        <v>0</v>
      </c>
      <c r="BG11" s="5">
        <f t="shared" ref="BG11:BG46" si="13">D11*$BG$7</f>
        <v>36604.907425064092</v>
      </c>
      <c r="BH11" s="5">
        <f>BF11+BG11</f>
        <v>36604.907425064092</v>
      </c>
      <c r="BI11" s="5">
        <f>BG$7*$F11</f>
        <v>6549.8446809299558</v>
      </c>
      <c r="BK11" s="5">
        <f t="shared" ref="BK11:BK46" si="14">C11*$BL$7</f>
        <v>0</v>
      </c>
      <c r="BL11" s="5">
        <f t="shared" ref="BL11:BL46" si="15">D11*$BL$7</f>
        <v>7955.2418826614094</v>
      </c>
      <c r="BM11" s="5">
        <f>BK11+BL11</f>
        <v>7955.2418826614094</v>
      </c>
      <c r="BN11" s="5">
        <f>BL$7*$F11</f>
        <v>1423.4593773342892</v>
      </c>
    </row>
    <row r="12" spans="1:70" x14ac:dyDescent="0.25">
      <c r="A12" s="29">
        <v>45748</v>
      </c>
      <c r="C12" s="3">
        <v>1255000</v>
      </c>
      <c r="D12" s="3">
        <v>630575</v>
      </c>
      <c r="E12" s="3">
        <f t="shared" si="0"/>
        <v>1885575</v>
      </c>
      <c r="F12" s="3">
        <v>112831</v>
      </c>
      <c r="H12" s="5">
        <f t="shared" si="2"/>
        <v>674647.29982106853</v>
      </c>
      <c r="I12" s="5">
        <f>N12+S12+X12+AC12+AH12+AM12+AR12+AW12+BB12+BG12+BL12</f>
        <v>338976.67018698825</v>
      </c>
      <c r="J12" s="5">
        <f t="shared" ref="J12:J46" si="16">H12+I12</f>
        <v>1013623.9700080568</v>
      </c>
      <c r="K12" s="5">
        <f>P12+U12+Z12+AE12+AJ12+AO12+AT12+AY12+BD12+BI12+BN12</f>
        <v>60654.286443116325</v>
      </c>
      <c r="M12" s="5">
        <f t="shared" ref="M12:M44" si="17">C12*$N$7</f>
        <v>243506.85865516879</v>
      </c>
      <c r="N12" s="5">
        <f t="shared" ref="N12:N45" si="18">D12*$N$7</f>
        <v>122350.06963863192</v>
      </c>
      <c r="O12" s="5">
        <f t="shared" si="3"/>
        <v>365856.92829380068</v>
      </c>
      <c r="P12" s="5">
        <f t="shared" ref="P12:P46" si="19">N$7*$F12</f>
        <v>21892.527784001075</v>
      </c>
      <c r="R12" s="5">
        <f>C12*$S$7</f>
        <v>162139.95079285122</v>
      </c>
      <c r="S12" s="5">
        <f>D12*$S$7</f>
        <v>81467.250574663078</v>
      </c>
      <c r="T12" s="5">
        <f t="shared" si="1"/>
        <v>243607.2013675143</v>
      </c>
      <c r="U12" s="5">
        <f t="shared" ref="U12:U46" si="20">S$7*$F12</f>
        <v>14577.221344946769</v>
      </c>
      <c r="W12" s="5">
        <f t="shared" ref="W12:W46" si="21">C12*$X$7</f>
        <v>53018.174248539741</v>
      </c>
      <c r="X12" s="5">
        <f t="shared" ref="X12:X46" si="22">D12*$X$7</f>
        <v>26638.992212568086</v>
      </c>
      <c r="Y12" s="5">
        <f t="shared" ref="Y12:Y46" si="23">W12+X12</f>
        <v>79657.16646110783</v>
      </c>
      <c r="Z12" s="5">
        <f t="shared" ref="Z12:Z46" si="24">X$7*$F12</f>
        <v>4766.6084610653288</v>
      </c>
      <c r="AB12" s="66">
        <f t="shared" ref="AB12:AB46" si="25">C12*$AC$7</f>
        <v>74892.473036828786</v>
      </c>
      <c r="AC12" s="66">
        <f t="shared" ref="AC12:AC46" si="26">D12*$AC$7</f>
        <v>37629.737996173957</v>
      </c>
      <c r="AD12" s="5">
        <f t="shared" ref="AD12:AD46" si="27">AB12+AC12</f>
        <v>112522.21103300274</v>
      </c>
      <c r="AE12" s="5">
        <f t="shared" ref="AE12:AE46" si="28">AC$7*$F12</f>
        <v>6733.2212153134897</v>
      </c>
      <c r="AG12" s="5">
        <f>C12*$AH$7</f>
        <v>863.90950069917494</v>
      </c>
      <c r="AH12" s="5">
        <f>D12*$AH$7</f>
        <v>434.07150071982647</v>
      </c>
      <c r="AI12" s="5">
        <f t="shared" ref="AI12:AI46" si="29">AG12+AH12</f>
        <v>1297.9810014190014</v>
      </c>
      <c r="AJ12" s="5">
        <f t="shared" ref="AJ12:AJ46" si="30">AH$7*$F12</f>
        <v>77.669938544532755</v>
      </c>
      <c r="AL12" s="5">
        <f t="shared" si="4"/>
        <v>22964.965889602088</v>
      </c>
      <c r="AM12" s="5">
        <f t="shared" si="5"/>
        <v>11538.75168592497</v>
      </c>
      <c r="AN12" s="5">
        <f t="shared" ref="AN12:AN46" si="31">AL12+AM12</f>
        <v>34503.717575527058</v>
      </c>
      <c r="AO12" s="5">
        <f t="shared" ref="AO12:AO46" si="32">AM$7*$F12</f>
        <v>2064.669375529636</v>
      </c>
      <c r="AQ12" s="5">
        <f t="shared" si="6"/>
        <v>8051.4074373507556</v>
      </c>
      <c r="AR12" s="5">
        <f t="shared" si="7"/>
        <v>4045.4312707629106</v>
      </c>
      <c r="AS12" s="5">
        <f t="shared" ref="AS12:AS46" si="33">AQ12+AR12</f>
        <v>12096.838708113666</v>
      </c>
      <c r="AT12" s="5">
        <f t="shared" ref="AT12:AT46" si="34">AR$7*$F12</f>
        <v>723.86322913444076</v>
      </c>
      <c r="AV12" s="5">
        <f t="shared" si="8"/>
        <v>9543.1659782810057</v>
      </c>
      <c r="AW12" s="5">
        <f t="shared" si="9"/>
        <v>4794.9656468163703</v>
      </c>
      <c r="AX12" s="5">
        <f t="shared" ref="AX12:AX46" si="35">AV12+AW12</f>
        <v>14338.131625097376</v>
      </c>
      <c r="AY12" s="5">
        <f t="shared" ref="AY12:AY46" si="36">AW$7*$F12</f>
        <v>857.98004820352514</v>
      </c>
      <c r="BA12" s="5">
        <f t="shared" si="10"/>
        <v>10980.690945592723</v>
      </c>
      <c r="BB12" s="5">
        <f t="shared" si="11"/>
        <v>5517.2503530016984</v>
      </c>
      <c r="BC12" s="5">
        <f t="shared" ref="BC12:BC46" si="37">BA12+BB12</f>
        <v>16497.941298594422</v>
      </c>
      <c r="BD12" s="5">
        <f t="shared" ref="BD12:BD46" si="38">BB$7*$F12</f>
        <v>987.22098811328487</v>
      </c>
      <c r="BF12" s="5">
        <f t="shared" si="12"/>
        <v>72852.8070704602</v>
      </c>
      <c r="BG12" s="5">
        <f t="shared" si="13"/>
        <v>36604.907425064092</v>
      </c>
      <c r="BH12" s="5">
        <f t="shared" ref="BH12:BH46" si="39">BF12+BG12</f>
        <v>109457.7144955243</v>
      </c>
      <c r="BI12" s="5">
        <f t="shared" ref="BI12:BI46" si="40">BG$7*$F12</f>
        <v>6549.8446809299558</v>
      </c>
      <c r="BK12" s="5">
        <f t="shared" si="14"/>
        <v>15832.896265694118</v>
      </c>
      <c r="BL12" s="5">
        <f t="shared" si="15"/>
        <v>7955.2418826614094</v>
      </c>
      <c r="BM12" s="5">
        <f t="shared" ref="BM12:BM46" si="41">BK12+BL12</f>
        <v>23788.138148355527</v>
      </c>
      <c r="BN12" s="5">
        <f t="shared" ref="BN12:BN46" si="42">BL$7*$F12</f>
        <v>1423.4593773342892</v>
      </c>
    </row>
    <row r="13" spans="1:70" x14ac:dyDescent="0.25">
      <c r="A13" s="29">
        <v>45931</v>
      </c>
      <c r="D13" s="3">
        <v>599200</v>
      </c>
      <c r="E13" s="3">
        <f t="shared" si="0"/>
        <v>599200</v>
      </c>
      <c r="F13" s="3">
        <v>112831</v>
      </c>
      <c r="H13" s="5">
        <f t="shared" si="2"/>
        <v>0</v>
      </c>
      <c r="I13" s="5">
        <f>N13+S13+X13+AC13+AH13+AM13+AR13+AW13+BB13+BG13+BL13</f>
        <v>322110.48769146157</v>
      </c>
      <c r="J13" s="5">
        <f t="shared" si="16"/>
        <v>322110.48769146157</v>
      </c>
      <c r="K13" s="5">
        <f>P13+U13+Z13+AE13+AJ13+AO13+AT13+AY13+BD13+BI13+BN13</f>
        <v>60654.286443116325</v>
      </c>
      <c r="N13" s="5">
        <f t="shared" si="18"/>
        <v>116262.3981722527</v>
      </c>
      <c r="O13" s="5">
        <f t="shared" si="3"/>
        <v>116262.3981722527</v>
      </c>
      <c r="P13" s="5">
        <f t="shared" si="19"/>
        <v>21892.527784001075</v>
      </c>
      <c r="R13" s="5">
        <f t="shared" ref="R13:R46" si="43">C13*$S$7</f>
        <v>0</v>
      </c>
      <c r="S13" s="5">
        <f t="shared" ref="S13:S46" si="44">D13*$S$7</f>
        <v>77413.751804841784</v>
      </c>
      <c r="T13" s="5">
        <f t="shared" si="1"/>
        <v>77413.751804841784</v>
      </c>
      <c r="U13" s="5">
        <f t="shared" si="20"/>
        <v>14577.221344946769</v>
      </c>
      <c r="W13" s="5">
        <f t="shared" si="21"/>
        <v>0</v>
      </c>
      <c r="X13" s="5">
        <f t="shared" si="22"/>
        <v>25313.537856354593</v>
      </c>
      <c r="Y13" s="5">
        <f t="shared" si="23"/>
        <v>25313.537856354593</v>
      </c>
      <c r="Z13" s="5">
        <f t="shared" si="24"/>
        <v>4766.6084610653288</v>
      </c>
      <c r="AB13" s="66">
        <f t="shared" si="25"/>
        <v>0</v>
      </c>
      <c r="AC13" s="66">
        <f t="shared" si="26"/>
        <v>35757.426170253239</v>
      </c>
      <c r="AD13" s="5">
        <f t="shared" si="27"/>
        <v>35757.426170253239</v>
      </c>
      <c r="AE13" s="5">
        <f t="shared" si="28"/>
        <v>6733.2212153134897</v>
      </c>
      <c r="AG13" s="5">
        <f t="shared" ref="AG13:AG46" si="45">C13*$AH$7</f>
        <v>0</v>
      </c>
      <c r="AH13" s="5">
        <f t="shared" ref="AH13:AH46" si="46">D13*$AH$7</f>
        <v>412.47376320234713</v>
      </c>
      <c r="AI13" s="5">
        <f t="shared" si="29"/>
        <v>412.47376320234713</v>
      </c>
      <c r="AJ13" s="5">
        <f t="shared" si="30"/>
        <v>77.669938544532755</v>
      </c>
      <c r="AL13" s="5">
        <f t="shared" si="4"/>
        <v>0</v>
      </c>
      <c r="AM13" s="5">
        <f t="shared" si="5"/>
        <v>10964.627538684917</v>
      </c>
      <c r="AN13" s="5">
        <f t="shared" si="31"/>
        <v>10964.627538684917</v>
      </c>
      <c r="AO13" s="5">
        <f t="shared" si="32"/>
        <v>2064.669375529636</v>
      </c>
      <c r="AQ13" s="5">
        <f t="shared" si="6"/>
        <v>0</v>
      </c>
      <c r="AR13" s="5">
        <f t="shared" si="7"/>
        <v>3844.1460848291417</v>
      </c>
      <c r="AS13" s="5">
        <f t="shared" si="33"/>
        <v>3844.1460848291417</v>
      </c>
      <c r="AT13" s="5">
        <f t="shared" si="34"/>
        <v>723.86322913444076</v>
      </c>
      <c r="AV13" s="5">
        <f t="shared" si="8"/>
        <v>0</v>
      </c>
      <c r="AW13" s="5">
        <f t="shared" si="9"/>
        <v>4556.3864973593454</v>
      </c>
      <c r="AX13" s="5">
        <f t="shared" si="35"/>
        <v>4556.3864973593454</v>
      </c>
      <c r="AY13" s="5">
        <f t="shared" si="36"/>
        <v>857.98004820352514</v>
      </c>
      <c r="BA13" s="5">
        <f t="shared" si="10"/>
        <v>0</v>
      </c>
      <c r="BB13" s="5">
        <f t="shared" si="11"/>
        <v>5242.7330793618803</v>
      </c>
      <c r="BC13" s="5">
        <f t="shared" si="37"/>
        <v>5242.7330793618803</v>
      </c>
      <c r="BD13" s="5">
        <f t="shared" si="38"/>
        <v>987.22098811328487</v>
      </c>
      <c r="BF13" s="5">
        <f t="shared" si="12"/>
        <v>0</v>
      </c>
      <c r="BG13" s="5">
        <f t="shared" si="13"/>
        <v>34783.587248302589</v>
      </c>
      <c r="BH13" s="5">
        <f t="shared" si="39"/>
        <v>34783.587248302589</v>
      </c>
      <c r="BI13" s="5">
        <f t="shared" si="40"/>
        <v>6549.8446809299558</v>
      </c>
      <c r="BK13" s="5">
        <f t="shared" si="14"/>
        <v>0</v>
      </c>
      <c r="BL13" s="5">
        <f t="shared" si="15"/>
        <v>7559.4194760190567</v>
      </c>
      <c r="BM13" s="5">
        <f t="shared" si="41"/>
        <v>7559.4194760190567</v>
      </c>
      <c r="BN13" s="5">
        <f t="shared" si="42"/>
        <v>1423.4593773342892</v>
      </c>
    </row>
    <row r="14" spans="1:70" x14ac:dyDescent="0.25">
      <c r="A14" s="29">
        <v>46113</v>
      </c>
      <c r="C14" s="3">
        <v>1320000</v>
      </c>
      <c r="D14" s="3">
        <v>599200</v>
      </c>
      <c r="E14" s="3">
        <f t="shared" si="0"/>
        <v>1919200</v>
      </c>
      <c r="F14" s="3">
        <v>112831</v>
      </c>
      <c r="H14" s="5">
        <f t="shared" si="2"/>
        <v>709589.1918436737</v>
      </c>
      <c r="I14" s="5">
        <f>N14+S14+X14+AC14+AH14+AM14+AR14+AW14+BB14+BG14+BL14</f>
        <v>322110.48769146157</v>
      </c>
      <c r="J14" s="5">
        <f t="shared" si="16"/>
        <v>1031699.6795351353</v>
      </c>
      <c r="K14" s="5">
        <f>P14+U14+Z14+AE14+AJ14+AO14+AT14+AY14+BD14+BI14+BN14</f>
        <v>60654.286443116325</v>
      </c>
      <c r="M14" s="5">
        <f t="shared" si="17"/>
        <v>256118.76766918151</v>
      </c>
      <c r="N14" s="5">
        <f t="shared" si="18"/>
        <v>116262.3981722527</v>
      </c>
      <c r="O14" s="5">
        <f t="shared" si="3"/>
        <v>372381.16584143421</v>
      </c>
      <c r="P14" s="5">
        <f t="shared" si="19"/>
        <v>21892.527784001075</v>
      </c>
      <c r="R14" s="5">
        <f t="shared" si="43"/>
        <v>170537.63748730169</v>
      </c>
      <c r="S14" s="5">
        <f t="shared" si="44"/>
        <v>77413.751804841784</v>
      </c>
      <c r="T14" s="5">
        <f t="shared" si="1"/>
        <v>247951.38929214346</v>
      </c>
      <c r="U14" s="5">
        <f t="shared" si="20"/>
        <v>14577.221344946769</v>
      </c>
      <c r="W14" s="5">
        <f t="shared" si="21"/>
        <v>55764.135464599567</v>
      </c>
      <c r="X14" s="5">
        <f t="shared" si="22"/>
        <v>25313.537856354593</v>
      </c>
      <c r="Y14" s="5">
        <f t="shared" si="23"/>
        <v>81077.673320954156</v>
      </c>
      <c r="Z14" s="5">
        <f t="shared" si="24"/>
        <v>4766.6084610653288</v>
      </c>
      <c r="AB14" s="66">
        <f t="shared" si="25"/>
        <v>78771.366062640634</v>
      </c>
      <c r="AC14" s="66">
        <f t="shared" si="26"/>
        <v>35757.426170253239</v>
      </c>
      <c r="AD14" s="5">
        <f t="shared" si="27"/>
        <v>114528.79223289387</v>
      </c>
      <c r="AE14" s="5">
        <f t="shared" si="28"/>
        <v>6733.2212153134897</v>
      </c>
      <c r="AG14" s="5">
        <f t="shared" si="45"/>
        <v>908.65381746845492</v>
      </c>
      <c r="AH14" s="5">
        <f t="shared" si="46"/>
        <v>412.47376320234713</v>
      </c>
      <c r="AI14" s="5">
        <f t="shared" si="29"/>
        <v>1321.127580670802</v>
      </c>
      <c r="AJ14" s="5">
        <f t="shared" si="30"/>
        <v>77.669938544532755</v>
      </c>
      <c r="AL14" s="5">
        <f t="shared" si="4"/>
        <v>24154.386433685067</v>
      </c>
      <c r="AM14" s="5">
        <f t="shared" si="5"/>
        <v>10964.627538684917</v>
      </c>
      <c r="AN14" s="5">
        <f t="shared" si="31"/>
        <v>35119.013972369983</v>
      </c>
      <c r="AO14" s="5">
        <f t="shared" si="32"/>
        <v>2064.669375529636</v>
      </c>
      <c r="AQ14" s="5">
        <f t="shared" si="6"/>
        <v>8468.4126034286837</v>
      </c>
      <c r="AR14" s="5">
        <f t="shared" si="7"/>
        <v>3844.1460848291417</v>
      </c>
      <c r="AS14" s="5">
        <f t="shared" si="33"/>
        <v>12312.558688257825</v>
      </c>
      <c r="AT14" s="5">
        <f t="shared" si="34"/>
        <v>723.86322913444076</v>
      </c>
      <c r="AV14" s="5">
        <f t="shared" si="8"/>
        <v>10037.433538909105</v>
      </c>
      <c r="AW14" s="5">
        <f t="shared" si="9"/>
        <v>4556.3864973593454</v>
      </c>
      <c r="AX14" s="5">
        <f t="shared" si="35"/>
        <v>14593.820036268451</v>
      </c>
      <c r="AY14" s="5">
        <f t="shared" si="36"/>
        <v>857.98004820352514</v>
      </c>
      <c r="BA14" s="5">
        <f t="shared" si="10"/>
        <v>11549.411990583581</v>
      </c>
      <c r="BB14" s="5">
        <f t="shared" si="11"/>
        <v>5242.7330793618803</v>
      </c>
      <c r="BC14" s="5">
        <f t="shared" si="37"/>
        <v>16792.145069945462</v>
      </c>
      <c r="BD14" s="5">
        <f t="shared" si="38"/>
        <v>987.22098811328487</v>
      </c>
      <c r="BF14" s="5">
        <f t="shared" si="12"/>
        <v>76626.060026300765</v>
      </c>
      <c r="BG14" s="5">
        <f t="shared" si="13"/>
        <v>34783.587248302589</v>
      </c>
      <c r="BH14" s="5">
        <f t="shared" si="39"/>
        <v>111409.64727460335</v>
      </c>
      <c r="BI14" s="5">
        <f t="shared" si="40"/>
        <v>6549.8446809299558</v>
      </c>
      <c r="BK14" s="5">
        <f t="shared" si="14"/>
        <v>16652.92674957469</v>
      </c>
      <c r="BL14" s="5">
        <f t="shared" si="15"/>
        <v>7559.4194760190567</v>
      </c>
      <c r="BM14" s="5">
        <f t="shared" si="41"/>
        <v>24212.346225593748</v>
      </c>
      <c r="BN14" s="5">
        <f t="shared" si="42"/>
        <v>1423.4593773342892</v>
      </c>
    </row>
    <row r="15" spans="1:70" x14ac:dyDescent="0.25">
      <c r="A15" s="29">
        <v>46296</v>
      </c>
      <c r="D15" s="3">
        <v>566200</v>
      </c>
      <c r="E15" s="3">
        <f t="shared" si="0"/>
        <v>566200</v>
      </c>
      <c r="F15" s="3">
        <v>112831</v>
      </c>
      <c r="H15" s="5">
        <f t="shared" si="2"/>
        <v>0</v>
      </c>
      <c r="I15" s="5">
        <f>N15+S15+X15+AC15+AH15+AM15+AR15+AW15+BB15+BG15+BL15</f>
        <v>304370.75789536984</v>
      </c>
      <c r="J15" s="5">
        <f t="shared" si="16"/>
        <v>304370.75789536984</v>
      </c>
      <c r="K15" s="5">
        <f>P15+U15+Z15+AE15+AJ15+AO15+AT15+AY15+BD15+BI15+BN15</f>
        <v>60654.286443116325</v>
      </c>
      <c r="N15" s="5">
        <f t="shared" si="18"/>
        <v>109859.42898052317</v>
      </c>
      <c r="O15" s="5">
        <f t="shared" si="3"/>
        <v>109859.42898052317</v>
      </c>
      <c r="P15" s="5">
        <f t="shared" si="19"/>
        <v>21892.527784001075</v>
      </c>
      <c r="R15" s="5">
        <f t="shared" si="43"/>
        <v>0</v>
      </c>
      <c r="S15" s="5">
        <f t="shared" si="44"/>
        <v>73150.310867659253</v>
      </c>
      <c r="T15" s="5">
        <f t="shared" si="1"/>
        <v>73150.310867659253</v>
      </c>
      <c r="U15" s="5">
        <f t="shared" si="20"/>
        <v>14577.221344946769</v>
      </c>
      <c r="W15" s="5">
        <f t="shared" si="21"/>
        <v>0</v>
      </c>
      <c r="X15" s="5">
        <f t="shared" si="22"/>
        <v>23919.434469739601</v>
      </c>
      <c r="Y15" s="5">
        <f t="shared" si="23"/>
        <v>23919.434469739601</v>
      </c>
      <c r="Z15" s="5">
        <f t="shared" si="24"/>
        <v>4766.6084610653288</v>
      </c>
      <c r="AB15" s="66">
        <f t="shared" si="25"/>
        <v>0</v>
      </c>
      <c r="AC15" s="66">
        <f t="shared" si="26"/>
        <v>33788.14201868722</v>
      </c>
      <c r="AD15" s="5">
        <f t="shared" si="27"/>
        <v>33788.14201868722</v>
      </c>
      <c r="AE15" s="5">
        <f t="shared" si="28"/>
        <v>6733.2212153134897</v>
      </c>
      <c r="AG15" s="5">
        <f t="shared" si="45"/>
        <v>0</v>
      </c>
      <c r="AH15" s="5">
        <f t="shared" si="46"/>
        <v>389.75741776563575</v>
      </c>
      <c r="AI15" s="5">
        <f t="shared" si="29"/>
        <v>389.75741776563575</v>
      </c>
      <c r="AJ15" s="5">
        <f t="shared" si="30"/>
        <v>77.669938544532755</v>
      </c>
      <c r="AL15" s="5">
        <f t="shared" si="4"/>
        <v>0</v>
      </c>
      <c r="AM15" s="5">
        <f t="shared" si="5"/>
        <v>10360.767877842791</v>
      </c>
      <c r="AN15" s="5">
        <f t="shared" si="31"/>
        <v>10360.767877842791</v>
      </c>
      <c r="AO15" s="5">
        <f t="shared" si="32"/>
        <v>2064.669375529636</v>
      </c>
      <c r="AQ15" s="5">
        <f t="shared" si="6"/>
        <v>0</v>
      </c>
      <c r="AR15" s="5">
        <f t="shared" si="7"/>
        <v>3632.4357697434248</v>
      </c>
      <c r="AS15" s="5">
        <f t="shared" si="33"/>
        <v>3632.4357697434248</v>
      </c>
      <c r="AT15" s="5">
        <f t="shared" si="34"/>
        <v>723.86322913444076</v>
      </c>
      <c r="AV15" s="5">
        <f t="shared" si="8"/>
        <v>0</v>
      </c>
      <c r="AW15" s="5">
        <f t="shared" si="9"/>
        <v>4305.4506588866179</v>
      </c>
      <c r="AX15" s="5">
        <f t="shared" si="35"/>
        <v>4305.4506588866179</v>
      </c>
      <c r="AY15" s="5">
        <f t="shared" si="36"/>
        <v>857.98004820352514</v>
      </c>
      <c r="BA15" s="5">
        <f t="shared" si="10"/>
        <v>0</v>
      </c>
      <c r="BB15" s="5">
        <f t="shared" si="11"/>
        <v>4953.9977795972909</v>
      </c>
      <c r="BC15" s="5">
        <f t="shared" si="37"/>
        <v>4953.9977795972909</v>
      </c>
      <c r="BD15" s="5">
        <f t="shared" si="38"/>
        <v>987.22098811328487</v>
      </c>
      <c r="BF15" s="5">
        <f t="shared" si="12"/>
        <v>0</v>
      </c>
      <c r="BG15" s="5">
        <f t="shared" si="13"/>
        <v>32867.935747645068</v>
      </c>
      <c r="BH15" s="5">
        <f t="shared" si="39"/>
        <v>32867.935747645068</v>
      </c>
      <c r="BI15" s="5">
        <f t="shared" si="40"/>
        <v>6549.8446809299558</v>
      </c>
      <c r="BK15" s="5">
        <f t="shared" si="14"/>
        <v>0</v>
      </c>
      <c r="BL15" s="5">
        <f t="shared" si="15"/>
        <v>7143.0963072796894</v>
      </c>
      <c r="BM15" s="5">
        <f t="shared" si="41"/>
        <v>7143.0963072796894</v>
      </c>
      <c r="BN15" s="5">
        <f t="shared" si="42"/>
        <v>1423.4593773342892</v>
      </c>
    </row>
    <row r="16" spans="1:70" x14ac:dyDescent="0.25">
      <c r="A16" s="29">
        <v>46478</v>
      </c>
      <c r="B16" s="30"/>
      <c r="C16" s="3">
        <v>1385000</v>
      </c>
      <c r="D16" s="3">
        <v>566200</v>
      </c>
      <c r="E16" s="3">
        <f t="shared" si="0"/>
        <v>1951200</v>
      </c>
      <c r="F16" s="3">
        <v>112831</v>
      </c>
      <c r="H16" s="5">
        <f t="shared" si="2"/>
        <v>744531.08386627887</v>
      </c>
      <c r="I16" s="5">
        <f>N16+S16+X16+AC16+AH16+AM16+AR16+AW16+BB16+BG16+BL16</f>
        <v>304370.75789536984</v>
      </c>
      <c r="J16" s="5">
        <f t="shared" si="16"/>
        <v>1048901.8417616487</v>
      </c>
      <c r="K16" s="5">
        <f>P16+U16+Z16+AE16+AJ16+AO16+AT16+AY16+BD16+BI16+BN16</f>
        <v>60654.286443116325</v>
      </c>
      <c r="M16" s="5">
        <f t="shared" si="17"/>
        <v>268730.67668319424</v>
      </c>
      <c r="N16" s="5">
        <f t="shared" si="18"/>
        <v>109859.42898052317</v>
      </c>
      <c r="O16" s="5">
        <f t="shared" si="3"/>
        <v>378590.10566371738</v>
      </c>
      <c r="P16" s="5">
        <f t="shared" si="19"/>
        <v>21892.527784001075</v>
      </c>
      <c r="R16" s="5">
        <f t="shared" si="43"/>
        <v>178935.32418175213</v>
      </c>
      <c r="S16" s="5">
        <f t="shared" si="44"/>
        <v>73150.310867659253</v>
      </c>
      <c r="T16" s="5">
        <f t="shared" si="1"/>
        <v>252085.63504941139</v>
      </c>
      <c r="U16" s="5">
        <f t="shared" si="20"/>
        <v>14577.221344946769</v>
      </c>
      <c r="W16" s="5">
        <f t="shared" si="21"/>
        <v>58510.096680659393</v>
      </c>
      <c r="X16" s="5">
        <f t="shared" si="22"/>
        <v>23919.434469739601</v>
      </c>
      <c r="Y16" s="5">
        <f t="shared" si="23"/>
        <v>82429.531150398994</v>
      </c>
      <c r="Z16" s="5">
        <f t="shared" si="24"/>
        <v>4766.6084610653288</v>
      </c>
      <c r="AB16" s="66">
        <f t="shared" si="25"/>
        <v>82650.259088452483</v>
      </c>
      <c r="AC16" s="66">
        <f t="shared" si="26"/>
        <v>33788.14201868722</v>
      </c>
      <c r="AD16" s="5">
        <f t="shared" si="27"/>
        <v>116438.40110713971</v>
      </c>
      <c r="AE16" s="5">
        <f t="shared" si="28"/>
        <v>6733.2212153134897</v>
      </c>
      <c r="AG16" s="5">
        <f t="shared" si="45"/>
        <v>953.39813423773489</v>
      </c>
      <c r="AH16" s="5">
        <f t="shared" si="46"/>
        <v>389.75741776563575</v>
      </c>
      <c r="AI16" s="5">
        <f t="shared" si="29"/>
        <v>1343.1555520033708</v>
      </c>
      <c r="AJ16" s="5">
        <f t="shared" si="30"/>
        <v>77.669938544532755</v>
      </c>
      <c r="AL16" s="5">
        <f t="shared" si="4"/>
        <v>25343.806977768043</v>
      </c>
      <c r="AM16" s="5">
        <f t="shared" si="5"/>
        <v>10360.767877842791</v>
      </c>
      <c r="AN16" s="5">
        <f t="shared" si="31"/>
        <v>35704.57485561083</v>
      </c>
      <c r="AO16" s="5">
        <f t="shared" si="32"/>
        <v>2064.669375529636</v>
      </c>
      <c r="AQ16" s="5">
        <f t="shared" si="6"/>
        <v>8885.4177695066119</v>
      </c>
      <c r="AR16" s="5">
        <f t="shared" si="7"/>
        <v>3632.4357697434248</v>
      </c>
      <c r="AS16" s="5">
        <f t="shared" si="33"/>
        <v>12517.853539250036</v>
      </c>
      <c r="AT16" s="5">
        <f t="shared" si="34"/>
        <v>723.86322913444076</v>
      </c>
      <c r="AV16" s="5">
        <f t="shared" si="8"/>
        <v>10531.701099537206</v>
      </c>
      <c r="AW16" s="5">
        <f t="shared" si="9"/>
        <v>4305.4506588866179</v>
      </c>
      <c r="AX16" s="5">
        <f t="shared" si="35"/>
        <v>14837.151758423825</v>
      </c>
      <c r="AY16" s="5">
        <f t="shared" si="36"/>
        <v>857.98004820352514</v>
      </c>
      <c r="BA16" s="5">
        <f t="shared" si="10"/>
        <v>12118.133035574439</v>
      </c>
      <c r="BB16" s="5">
        <f t="shared" si="11"/>
        <v>4953.9977795972909</v>
      </c>
      <c r="BC16" s="5">
        <f t="shared" si="37"/>
        <v>17072.130815171731</v>
      </c>
      <c r="BD16" s="5">
        <f t="shared" si="38"/>
        <v>987.22098811328487</v>
      </c>
      <c r="BF16" s="5">
        <f t="shared" si="12"/>
        <v>80399.312982141331</v>
      </c>
      <c r="BG16" s="5">
        <f t="shared" si="13"/>
        <v>32867.935747645068</v>
      </c>
      <c r="BH16" s="5">
        <f t="shared" si="39"/>
        <v>113267.2487297864</v>
      </c>
      <c r="BI16" s="5">
        <f t="shared" si="40"/>
        <v>6549.8446809299558</v>
      </c>
      <c r="BK16" s="5">
        <f t="shared" si="14"/>
        <v>17472.957233455261</v>
      </c>
      <c r="BL16" s="5">
        <f t="shared" si="15"/>
        <v>7143.0963072796894</v>
      </c>
      <c r="BM16" s="5">
        <f t="shared" si="41"/>
        <v>24616.053540734953</v>
      </c>
      <c r="BN16" s="5">
        <f t="shared" si="42"/>
        <v>1423.4593773342892</v>
      </c>
    </row>
    <row r="17" spans="1:68" x14ac:dyDescent="0.25">
      <c r="A17" s="29">
        <v>46661</v>
      </c>
      <c r="D17" s="3">
        <v>531575</v>
      </c>
      <c r="E17" s="3">
        <f t="shared" si="0"/>
        <v>531575</v>
      </c>
      <c r="F17" s="3">
        <v>112831</v>
      </c>
      <c r="H17" s="5">
        <f t="shared" si="2"/>
        <v>0</v>
      </c>
      <c r="I17" s="5">
        <f>N17+S17+X17+AC17+AH17+AM17+AR17+AW17+BB17+BG17+BL17</f>
        <v>285757.48079871276</v>
      </c>
      <c r="J17" s="5">
        <f t="shared" si="16"/>
        <v>285757.48079871276</v>
      </c>
      <c r="K17" s="5">
        <f>P17+U17+Z17+AE17+AJ17+AO17+AT17+AY17+BD17+BI17+BN17</f>
        <v>60654.286443116325</v>
      </c>
      <c r="N17" s="5">
        <f t="shared" si="18"/>
        <v>103141.16206344331</v>
      </c>
      <c r="O17" s="5">
        <f t="shared" si="3"/>
        <v>103141.16206344331</v>
      </c>
      <c r="P17" s="5">
        <f t="shared" si="19"/>
        <v>21892.527784001075</v>
      </c>
      <c r="R17" s="5">
        <f t="shared" si="43"/>
        <v>0</v>
      </c>
      <c r="S17" s="5">
        <f t="shared" si="44"/>
        <v>68676.92776311544</v>
      </c>
      <c r="T17" s="5">
        <f t="shared" si="1"/>
        <v>68676.92776311544</v>
      </c>
      <c r="U17" s="5">
        <f t="shared" si="20"/>
        <v>14577.221344946769</v>
      </c>
      <c r="W17" s="5">
        <f t="shared" si="21"/>
        <v>0</v>
      </c>
      <c r="X17" s="5">
        <f t="shared" si="22"/>
        <v>22456.682052723118</v>
      </c>
      <c r="Y17" s="5">
        <f t="shared" si="23"/>
        <v>22456.682052723118</v>
      </c>
      <c r="Z17" s="5">
        <f t="shared" si="24"/>
        <v>4766.6084610653288</v>
      </c>
      <c r="AB17" s="66">
        <f t="shared" si="25"/>
        <v>0</v>
      </c>
      <c r="AC17" s="66">
        <f t="shared" si="26"/>
        <v>31721.885541475909</v>
      </c>
      <c r="AD17" s="5">
        <f t="shared" si="27"/>
        <v>31721.885541475909</v>
      </c>
      <c r="AE17" s="5">
        <f t="shared" si="28"/>
        <v>6733.2212153134897</v>
      </c>
      <c r="AG17" s="5">
        <f t="shared" si="45"/>
        <v>0</v>
      </c>
      <c r="AH17" s="5">
        <f t="shared" si="46"/>
        <v>365.9224644096924</v>
      </c>
      <c r="AI17" s="5">
        <f t="shared" si="29"/>
        <v>365.9224644096924</v>
      </c>
      <c r="AJ17" s="5">
        <f t="shared" si="30"/>
        <v>77.669938544532755</v>
      </c>
      <c r="AL17" s="5">
        <f t="shared" si="4"/>
        <v>0</v>
      </c>
      <c r="AM17" s="5">
        <f t="shared" si="5"/>
        <v>9727.1727033985899</v>
      </c>
      <c r="AN17" s="5">
        <f t="shared" si="31"/>
        <v>9727.1727033985899</v>
      </c>
      <c r="AO17" s="5">
        <f t="shared" si="32"/>
        <v>2064.669375529636</v>
      </c>
      <c r="AQ17" s="5">
        <f t="shared" si="6"/>
        <v>0</v>
      </c>
      <c r="AR17" s="5">
        <f t="shared" si="7"/>
        <v>3410.3003255057592</v>
      </c>
      <c r="AS17" s="5">
        <f t="shared" si="33"/>
        <v>3410.3003255057592</v>
      </c>
      <c r="AT17" s="5">
        <f t="shared" si="34"/>
        <v>723.86322913444076</v>
      </c>
      <c r="AV17" s="5">
        <f t="shared" si="8"/>
        <v>0</v>
      </c>
      <c r="AW17" s="5">
        <f t="shared" si="9"/>
        <v>4042.1581313981874</v>
      </c>
      <c r="AX17" s="5">
        <f t="shared" si="35"/>
        <v>4042.1581313981874</v>
      </c>
      <c r="AY17" s="5">
        <f t="shared" si="36"/>
        <v>857.98004820352514</v>
      </c>
      <c r="BA17" s="5">
        <f t="shared" si="10"/>
        <v>0</v>
      </c>
      <c r="BB17" s="5">
        <f t="shared" si="11"/>
        <v>4651.0444537079293</v>
      </c>
      <c r="BC17" s="5">
        <f t="shared" si="37"/>
        <v>4651.0444537079293</v>
      </c>
      <c r="BD17" s="5">
        <f t="shared" si="38"/>
        <v>987.22098811328487</v>
      </c>
      <c r="BF17" s="5">
        <f t="shared" si="12"/>
        <v>0</v>
      </c>
      <c r="BG17" s="5">
        <f t="shared" si="13"/>
        <v>30857.952923091536</v>
      </c>
      <c r="BH17" s="5">
        <f t="shared" si="39"/>
        <v>30857.952923091536</v>
      </c>
      <c r="BI17" s="5">
        <f t="shared" si="40"/>
        <v>6549.8446809299558</v>
      </c>
      <c r="BK17" s="5">
        <f t="shared" si="14"/>
        <v>0</v>
      </c>
      <c r="BL17" s="5">
        <f t="shared" si="15"/>
        <v>6706.2723764433076</v>
      </c>
      <c r="BM17" s="5">
        <f t="shared" si="41"/>
        <v>6706.2723764433076</v>
      </c>
      <c r="BN17" s="5">
        <f t="shared" si="42"/>
        <v>1423.4593773342892</v>
      </c>
    </row>
    <row r="18" spans="1:68" x14ac:dyDescent="0.25">
      <c r="A18" s="29">
        <v>46844</v>
      </c>
      <c r="C18" s="3">
        <v>1455000</v>
      </c>
      <c r="D18" s="3">
        <v>531575</v>
      </c>
      <c r="E18" s="3">
        <f t="shared" si="0"/>
        <v>1986575</v>
      </c>
      <c r="F18" s="3">
        <v>112831</v>
      </c>
      <c r="H18" s="5">
        <f t="shared" si="2"/>
        <v>782160.81373677682</v>
      </c>
      <c r="I18" s="5">
        <f>N18+S18+X18+AC18+AH18+AM18+AR18+AW18+BB18+BG18+BL18</f>
        <v>285757.48079871276</v>
      </c>
      <c r="J18" s="5">
        <f t="shared" si="16"/>
        <v>1067918.2945354895</v>
      </c>
      <c r="K18" s="5">
        <f>P18+U18+Z18+AE18+AJ18+AO18+AT18+AY18+BD18+BI18+BN18</f>
        <v>60654.286443116325</v>
      </c>
      <c r="M18" s="5">
        <f t="shared" si="17"/>
        <v>282312.73254443874</v>
      </c>
      <c r="N18" s="5">
        <f t="shared" si="18"/>
        <v>103141.16206344331</v>
      </c>
      <c r="O18" s="5">
        <f t="shared" si="3"/>
        <v>385453.89460788202</v>
      </c>
      <c r="P18" s="5">
        <f t="shared" si="19"/>
        <v>21892.527784001075</v>
      </c>
      <c r="R18" s="5">
        <f t="shared" si="43"/>
        <v>187978.9867757757</v>
      </c>
      <c r="S18" s="5">
        <f t="shared" si="44"/>
        <v>68676.92776311544</v>
      </c>
      <c r="T18" s="5">
        <f t="shared" si="1"/>
        <v>256655.91453889114</v>
      </c>
      <c r="U18" s="5">
        <f t="shared" si="20"/>
        <v>14577.221344946769</v>
      </c>
      <c r="W18" s="5">
        <f t="shared" si="21"/>
        <v>61467.285682569978</v>
      </c>
      <c r="X18" s="5">
        <f t="shared" si="22"/>
        <v>22456.682052723118</v>
      </c>
      <c r="Y18" s="5">
        <f t="shared" si="23"/>
        <v>83923.967735293088</v>
      </c>
      <c r="Z18" s="5">
        <f t="shared" si="24"/>
        <v>4766.6084610653288</v>
      </c>
      <c r="AB18" s="66">
        <f t="shared" si="25"/>
        <v>86827.528500865257</v>
      </c>
      <c r="AC18" s="66">
        <f t="shared" si="26"/>
        <v>31721.885541475909</v>
      </c>
      <c r="AD18" s="5">
        <f t="shared" si="27"/>
        <v>118549.41404234117</v>
      </c>
      <c r="AE18" s="5">
        <f t="shared" si="28"/>
        <v>6733.2212153134897</v>
      </c>
      <c r="AG18" s="5">
        <f t="shared" si="45"/>
        <v>1001.5843215277288</v>
      </c>
      <c r="AH18" s="5">
        <f t="shared" si="46"/>
        <v>365.9224644096924</v>
      </c>
      <c r="AI18" s="5">
        <f t="shared" si="29"/>
        <v>1367.5067859374212</v>
      </c>
      <c r="AJ18" s="5">
        <f t="shared" si="30"/>
        <v>77.669938544532755</v>
      </c>
      <c r="AL18" s="5">
        <f t="shared" si="4"/>
        <v>26624.721409857404</v>
      </c>
      <c r="AM18" s="5">
        <f t="shared" si="5"/>
        <v>9727.1727033985899</v>
      </c>
      <c r="AN18" s="5">
        <f t="shared" si="31"/>
        <v>36351.894113255992</v>
      </c>
      <c r="AO18" s="5">
        <f t="shared" si="32"/>
        <v>2064.669375529636</v>
      </c>
      <c r="AQ18" s="5">
        <f t="shared" si="6"/>
        <v>9334.5002560520716</v>
      </c>
      <c r="AR18" s="5">
        <f t="shared" si="7"/>
        <v>3410.3003255057592</v>
      </c>
      <c r="AS18" s="5">
        <f t="shared" si="33"/>
        <v>12744.800581557831</v>
      </c>
      <c r="AT18" s="5">
        <f t="shared" si="34"/>
        <v>723.86322913444076</v>
      </c>
      <c r="AV18" s="5">
        <f t="shared" si="8"/>
        <v>11063.989241752082</v>
      </c>
      <c r="AW18" s="5">
        <f t="shared" si="9"/>
        <v>4042.1581313981874</v>
      </c>
      <c r="AX18" s="5">
        <f t="shared" si="35"/>
        <v>15106.14737315027</v>
      </c>
      <c r="AY18" s="5">
        <f t="shared" si="36"/>
        <v>857.98004820352514</v>
      </c>
      <c r="BA18" s="5">
        <f t="shared" si="10"/>
        <v>12730.601853256901</v>
      </c>
      <c r="BB18" s="5">
        <f t="shared" si="11"/>
        <v>4651.0444537079293</v>
      </c>
      <c r="BC18" s="5">
        <f t="shared" si="37"/>
        <v>17381.646306964831</v>
      </c>
      <c r="BD18" s="5">
        <f t="shared" si="38"/>
        <v>987.22098811328487</v>
      </c>
      <c r="BF18" s="5">
        <f t="shared" si="12"/>
        <v>84462.816165354248</v>
      </c>
      <c r="BG18" s="5">
        <f t="shared" si="13"/>
        <v>30857.952923091536</v>
      </c>
      <c r="BH18" s="5">
        <f t="shared" si="39"/>
        <v>115320.76908844578</v>
      </c>
      <c r="BI18" s="5">
        <f t="shared" si="40"/>
        <v>6549.8446809299558</v>
      </c>
      <c r="BK18" s="5">
        <f t="shared" si="14"/>
        <v>18356.066985326648</v>
      </c>
      <c r="BL18" s="5">
        <f t="shared" si="15"/>
        <v>6706.2723764433076</v>
      </c>
      <c r="BM18" s="5">
        <f t="shared" si="41"/>
        <v>25062.339361769955</v>
      </c>
      <c r="BN18" s="5">
        <f t="shared" si="42"/>
        <v>1423.4593773342892</v>
      </c>
    </row>
    <row r="19" spans="1:68" x14ac:dyDescent="0.25">
      <c r="A19" s="29">
        <v>47027</v>
      </c>
      <c r="D19" s="3">
        <v>495200</v>
      </c>
      <c r="E19" s="3">
        <f t="shared" si="0"/>
        <v>495200</v>
      </c>
      <c r="F19" s="3">
        <v>112831</v>
      </c>
      <c r="H19" s="5">
        <f t="shared" si="2"/>
        <v>0</v>
      </c>
      <c r="I19" s="5">
        <f>N19+S19+X19+AC19+AH19+AM19+AR19+AW19+BB19+BG19+BL19</f>
        <v>266203.4604552933</v>
      </c>
      <c r="J19" s="5">
        <f t="shared" si="16"/>
        <v>266203.4604552933</v>
      </c>
      <c r="K19" s="5">
        <f>P19+U19+Z19+AE19+AJ19+AO19+AT19+AY19+BD19+BI19+BN19</f>
        <v>60654.286443116325</v>
      </c>
      <c r="N19" s="5">
        <f t="shared" si="18"/>
        <v>96083.343749832333</v>
      </c>
      <c r="O19" s="5">
        <f t="shared" si="3"/>
        <v>96083.343749832333</v>
      </c>
      <c r="P19" s="5">
        <f t="shared" si="19"/>
        <v>21892.527784001075</v>
      </c>
      <c r="R19" s="5">
        <f t="shared" si="43"/>
        <v>0</v>
      </c>
      <c r="S19" s="5">
        <f t="shared" si="44"/>
        <v>63977.453093721051</v>
      </c>
      <c r="T19" s="5">
        <f t="shared" si="1"/>
        <v>63977.453093721051</v>
      </c>
      <c r="U19" s="5">
        <f t="shared" si="20"/>
        <v>14577.221344946769</v>
      </c>
      <c r="W19" s="5">
        <f t="shared" si="21"/>
        <v>0</v>
      </c>
      <c r="X19" s="5">
        <f t="shared" si="22"/>
        <v>20919.999910658869</v>
      </c>
      <c r="Y19" s="5">
        <f t="shared" si="23"/>
        <v>20919.999910658869</v>
      </c>
      <c r="Z19" s="5">
        <f t="shared" si="24"/>
        <v>4766.6084610653288</v>
      </c>
      <c r="AB19" s="66">
        <f t="shared" si="25"/>
        <v>0</v>
      </c>
      <c r="AC19" s="66">
        <f t="shared" si="26"/>
        <v>29551.197328954277</v>
      </c>
      <c r="AD19" s="5">
        <f t="shared" si="27"/>
        <v>29551.197328954277</v>
      </c>
      <c r="AE19" s="5">
        <f t="shared" si="28"/>
        <v>6733.2212153134897</v>
      </c>
      <c r="AG19" s="5">
        <f t="shared" si="45"/>
        <v>0</v>
      </c>
      <c r="AH19" s="5">
        <f t="shared" si="46"/>
        <v>340.88285637149914</v>
      </c>
      <c r="AI19" s="5">
        <f t="shared" si="29"/>
        <v>340.88285637149914</v>
      </c>
      <c r="AJ19" s="5">
        <f t="shared" si="30"/>
        <v>77.669938544532755</v>
      </c>
      <c r="AL19" s="5">
        <f t="shared" si="4"/>
        <v>0</v>
      </c>
      <c r="AM19" s="5">
        <f t="shared" si="5"/>
        <v>9061.5546681521555</v>
      </c>
      <c r="AN19" s="5">
        <f t="shared" si="31"/>
        <v>9061.5546681521555</v>
      </c>
      <c r="AO19" s="5">
        <f t="shared" si="32"/>
        <v>2064.669375529636</v>
      </c>
      <c r="AQ19" s="5">
        <f t="shared" si="6"/>
        <v>0</v>
      </c>
      <c r="AR19" s="5">
        <f t="shared" si="7"/>
        <v>3176.9378191044575</v>
      </c>
      <c r="AS19" s="5">
        <f t="shared" si="33"/>
        <v>3176.9378191044575</v>
      </c>
      <c r="AT19" s="5">
        <f t="shared" si="34"/>
        <v>723.86322913444076</v>
      </c>
      <c r="AV19" s="5">
        <f t="shared" si="8"/>
        <v>0</v>
      </c>
      <c r="AW19" s="5">
        <f t="shared" si="9"/>
        <v>3765.5584003543854</v>
      </c>
      <c r="AX19" s="5">
        <f t="shared" si="35"/>
        <v>3765.5584003543854</v>
      </c>
      <c r="AY19" s="5">
        <f t="shared" si="36"/>
        <v>857.98004820352514</v>
      </c>
      <c r="BA19" s="5">
        <f t="shared" si="10"/>
        <v>0</v>
      </c>
      <c r="BB19" s="5">
        <f t="shared" si="11"/>
        <v>4332.7794073765072</v>
      </c>
      <c r="BC19" s="5">
        <f t="shared" si="37"/>
        <v>4332.7794073765072</v>
      </c>
      <c r="BD19" s="5">
        <f t="shared" si="38"/>
        <v>987.22098811328487</v>
      </c>
      <c r="BF19" s="5">
        <f t="shared" si="12"/>
        <v>0</v>
      </c>
      <c r="BG19" s="5">
        <f t="shared" si="13"/>
        <v>28746.382518957682</v>
      </c>
      <c r="BH19" s="5">
        <f t="shared" si="39"/>
        <v>28746.382518957682</v>
      </c>
      <c r="BI19" s="5">
        <f t="shared" si="40"/>
        <v>6549.8446809299558</v>
      </c>
      <c r="BK19" s="5">
        <f t="shared" si="14"/>
        <v>0</v>
      </c>
      <c r="BL19" s="5">
        <f t="shared" si="15"/>
        <v>6247.3707018101413</v>
      </c>
      <c r="BM19" s="5">
        <f t="shared" si="41"/>
        <v>6247.3707018101413</v>
      </c>
      <c r="BN19" s="5">
        <f t="shared" si="42"/>
        <v>1423.4593773342892</v>
      </c>
    </row>
    <row r="20" spans="1:68" x14ac:dyDescent="0.25">
      <c r="A20" s="29">
        <v>47209</v>
      </c>
      <c r="C20" s="3">
        <v>1525000</v>
      </c>
      <c r="D20" s="3">
        <v>495200</v>
      </c>
      <c r="E20" s="3">
        <f t="shared" si="0"/>
        <v>2020200</v>
      </c>
      <c r="F20" s="3">
        <v>112831</v>
      </c>
      <c r="H20" s="5">
        <f t="shared" si="2"/>
        <v>819790.54360727465</v>
      </c>
      <c r="I20" s="5">
        <f>N20+S20+X20+AC20+AH20+AM20+AR20+AW20+BB20+BG20+BL20</f>
        <v>266203.4604552933</v>
      </c>
      <c r="J20" s="5">
        <f t="shared" si="16"/>
        <v>1085994.0040625678</v>
      </c>
      <c r="K20" s="5">
        <f>P20+U20+Z20+AE20+AJ20+AO20+AT20+AY20+BD20+BI20+BN20</f>
        <v>60654.286443116325</v>
      </c>
      <c r="M20" s="5">
        <f t="shared" si="17"/>
        <v>295894.78840568318</v>
      </c>
      <c r="N20" s="5">
        <f t="shared" si="18"/>
        <v>96083.343749832333</v>
      </c>
      <c r="O20" s="5">
        <f t="shared" si="3"/>
        <v>391978.13215551549</v>
      </c>
      <c r="P20" s="5">
        <f t="shared" si="19"/>
        <v>21892.527784001075</v>
      </c>
      <c r="R20" s="5">
        <f t="shared" si="43"/>
        <v>197022.6493697993</v>
      </c>
      <c r="S20" s="5">
        <f t="shared" si="44"/>
        <v>63977.453093721051</v>
      </c>
      <c r="T20" s="5">
        <f t="shared" si="1"/>
        <v>261000.10246352036</v>
      </c>
      <c r="U20" s="5">
        <f t="shared" si="20"/>
        <v>14577.221344946769</v>
      </c>
      <c r="W20" s="5">
        <f t="shared" si="21"/>
        <v>64424.474684480563</v>
      </c>
      <c r="X20" s="5">
        <f t="shared" si="22"/>
        <v>20919.999910658869</v>
      </c>
      <c r="Y20" s="5">
        <f t="shared" si="23"/>
        <v>85344.474595139429</v>
      </c>
      <c r="Z20" s="5">
        <f t="shared" si="24"/>
        <v>4766.6084610653288</v>
      </c>
      <c r="AB20" s="66">
        <f t="shared" si="25"/>
        <v>91004.797913278016</v>
      </c>
      <c r="AC20" s="66">
        <f t="shared" si="26"/>
        <v>29551.197328954277</v>
      </c>
      <c r="AD20" s="5">
        <f t="shared" si="27"/>
        <v>120555.9952422323</v>
      </c>
      <c r="AE20" s="5">
        <f t="shared" si="28"/>
        <v>6733.2212153134897</v>
      </c>
      <c r="AG20" s="5">
        <f t="shared" si="45"/>
        <v>1049.7705088177227</v>
      </c>
      <c r="AH20" s="5">
        <f t="shared" si="46"/>
        <v>340.88285637149914</v>
      </c>
      <c r="AI20" s="5">
        <f t="shared" si="29"/>
        <v>1390.6533651892219</v>
      </c>
      <c r="AJ20" s="5">
        <f t="shared" si="30"/>
        <v>77.669938544532755</v>
      </c>
      <c r="AL20" s="5">
        <f t="shared" si="4"/>
        <v>27905.635841946762</v>
      </c>
      <c r="AM20" s="5">
        <f t="shared" si="5"/>
        <v>9061.5546681521555</v>
      </c>
      <c r="AN20" s="5">
        <f t="shared" si="31"/>
        <v>36967.190510098917</v>
      </c>
      <c r="AO20" s="5">
        <f t="shared" si="32"/>
        <v>2064.669375529636</v>
      </c>
      <c r="AQ20" s="5">
        <f t="shared" si="6"/>
        <v>9783.5827425975313</v>
      </c>
      <c r="AR20" s="5">
        <f t="shared" si="7"/>
        <v>3176.9378191044575</v>
      </c>
      <c r="AS20" s="5">
        <f t="shared" si="33"/>
        <v>12960.520561701989</v>
      </c>
      <c r="AT20" s="5">
        <f t="shared" si="34"/>
        <v>723.86322913444076</v>
      </c>
      <c r="AV20" s="5">
        <f t="shared" si="8"/>
        <v>11596.277383966959</v>
      </c>
      <c r="AW20" s="5">
        <f t="shared" si="9"/>
        <v>3765.5584003543854</v>
      </c>
      <c r="AX20" s="5">
        <f t="shared" si="35"/>
        <v>15361.835784321345</v>
      </c>
      <c r="AY20" s="5">
        <f t="shared" si="36"/>
        <v>857.98004820352514</v>
      </c>
      <c r="BA20" s="5">
        <f t="shared" si="10"/>
        <v>13343.070670939363</v>
      </c>
      <c r="BB20" s="5">
        <f t="shared" si="11"/>
        <v>4332.7794073765072</v>
      </c>
      <c r="BC20" s="5">
        <f t="shared" si="37"/>
        <v>17675.850078315871</v>
      </c>
      <c r="BD20" s="5">
        <f t="shared" si="38"/>
        <v>987.22098811328487</v>
      </c>
      <c r="BF20" s="5">
        <f t="shared" si="12"/>
        <v>88526.319348567165</v>
      </c>
      <c r="BG20" s="5">
        <f t="shared" si="13"/>
        <v>28746.382518957682</v>
      </c>
      <c r="BH20" s="5">
        <f t="shared" si="39"/>
        <v>117272.70186752485</v>
      </c>
      <c r="BI20" s="5">
        <f t="shared" si="40"/>
        <v>6549.8446809299558</v>
      </c>
      <c r="BK20" s="5">
        <f t="shared" si="14"/>
        <v>19239.176737198031</v>
      </c>
      <c r="BL20" s="5">
        <f t="shared" si="15"/>
        <v>6247.3707018101413</v>
      </c>
      <c r="BM20" s="5">
        <f t="shared" si="41"/>
        <v>25486.547439008173</v>
      </c>
      <c r="BN20" s="5">
        <f t="shared" si="42"/>
        <v>1423.4593773342892</v>
      </c>
    </row>
    <row r="21" spans="1:68" x14ac:dyDescent="0.25">
      <c r="A21" s="29">
        <v>47392</v>
      </c>
      <c r="D21" s="3">
        <v>457075</v>
      </c>
      <c r="E21" s="3">
        <f t="shared" si="0"/>
        <v>457075</v>
      </c>
      <c r="F21" s="3">
        <v>112831</v>
      </c>
      <c r="H21" s="5">
        <f t="shared" si="2"/>
        <v>0</v>
      </c>
      <c r="I21" s="5">
        <f>N21+S21+X21+AC21+AH21+AM21+AR21+AW21+BB21+BG21+BL21</f>
        <v>245708.6968651115</v>
      </c>
      <c r="J21" s="5">
        <f t="shared" si="16"/>
        <v>245708.6968651115</v>
      </c>
      <c r="K21" s="5">
        <f>P21+U21+Z21+AE21+AJ21+AO21+AT21+AY21+BD21+BI21+BN21</f>
        <v>60654.286443116325</v>
      </c>
      <c r="N21" s="5">
        <f t="shared" si="18"/>
        <v>88685.974039690263</v>
      </c>
      <c r="O21" s="5">
        <f t="shared" si="3"/>
        <v>88685.974039690263</v>
      </c>
      <c r="P21" s="5">
        <f t="shared" si="19"/>
        <v>21892.527784001075</v>
      </c>
      <c r="R21" s="5">
        <f t="shared" si="43"/>
        <v>0</v>
      </c>
      <c r="S21" s="5">
        <f t="shared" si="44"/>
        <v>59051.886859476072</v>
      </c>
      <c r="T21" s="5">
        <f t="shared" si="1"/>
        <v>59051.886859476072</v>
      </c>
      <c r="U21" s="5">
        <f t="shared" si="20"/>
        <v>14577.221344946769</v>
      </c>
      <c r="W21" s="5">
        <f t="shared" si="21"/>
        <v>0</v>
      </c>
      <c r="X21" s="5">
        <f t="shared" si="22"/>
        <v>19309.388043546853</v>
      </c>
      <c r="Y21" s="5">
        <f t="shared" si="23"/>
        <v>19309.388043546853</v>
      </c>
      <c r="Z21" s="5">
        <f t="shared" si="24"/>
        <v>4766.6084610653288</v>
      </c>
      <c r="AB21" s="66">
        <f t="shared" si="25"/>
        <v>0</v>
      </c>
      <c r="AC21" s="66">
        <f t="shared" si="26"/>
        <v>27276.077381122326</v>
      </c>
      <c r="AD21" s="5">
        <f t="shared" si="27"/>
        <v>27276.077381122326</v>
      </c>
      <c r="AE21" s="5">
        <f t="shared" si="28"/>
        <v>6733.2212153134897</v>
      </c>
      <c r="AG21" s="5">
        <f t="shared" si="45"/>
        <v>0</v>
      </c>
      <c r="AH21" s="5">
        <f t="shared" si="46"/>
        <v>314.63859365105611</v>
      </c>
      <c r="AI21" s="5">
        <f t="shared" si="29"/>
        <v>314.63859365105611</v>
      </c>
      <c r="AJ21" s="5">
        <f t="shared" si="30"/>
        <v>77.669938544532755</v>
      </c>
      <c r="AL21" s="5">
        <f t="shared" si="4"/>
        <v>0</v>
      </c>
      <c r="AM21" s="5">
        <f t="shared" si="5"/>
        <v>8363.9137721034858</v>
      </c>
      <c r="AN21" s="5">
        <f t="shared" si="31"/>
        <v>8363.9137721034858</v>
      </c>
      <c r="AO21" s="5">
        <f t="shared" si="32"/>
        <v>2064.669375529636</v>
      </c>
      <c r="AQ21" s="5">
        <f t="shared" si="6"/>
        <v>0</v>
      </c>
      <c r="AR21" s="5">
        <f t="shared" si="7"/>
        <v>2932.3482505395195</v>
      </c>
      <c r="AS21" s="5">
        <f t="shared" si="33"/>
        <v>2932.3482505395195</v>
      </c>
      <c r="AT21" s="5">
        <f t="shared" si="34"/>
        <v>723.86322913444076</v>
      </c>
      <c r="AV21" s="5">
        <f t="shared" si="8"/>
        <v>0</v>
      </c>
      <c r="AW21" s="5">
        <f t="shared" si="9"/>
        <v>3475.6514657552116</v>
      </c>
      <c r="AX21" s="5">
        <f t="shared" si="35"/>
        <v>3475.6514657552116</v>
      </c>
      <c r="AY21" s="5">
        <f t="shared" si="36"/>
        <v>857.98004820352514</v>
      </c>
      <c r="BA21" s="5">
        <f t="shared" si="10"/>
        <v>0</v>
      </c>
      <c r="BB21" s="5">
        <f t="shared" si="11"/>
        <v>3999.2026406030227</v>
      </c>
      <c r="BC21" s="5">
        <f t="shared" si="37"/>
        <v>3999.2026406030227</v>
      </c>
      <c r="BD21" s="5">
        <f t="shared" si="38"/>
        <v>987.22098811328487</v>
      </c>
      <c r="BF21" s="5">
        <f t="shared" si="12"/>
        <v>0</v>
      </c>
      <c r="BG21" s="5">
        <f t="shared" si="13"/>
        <v>26533.224535243502</v>
      </c>
      <c r="BH21" s="5">
        <f t="shared" si="39"/>
        <v>26533.224535243502</v>
      </c>
      <c r="BI21" s="5">
        <f t="shared" si="40"/>
        <v>6549.8446809299558</v>
      </c>
      <c r="BK21" s="5">
        <f t="shared" si="14"/>
        <v>0</v>
      </c>
      <c r="BL21" s="5">
        <f t="shared" si="15"/>
        <v>5766.3912833801905</v>
      </c>
      <c r="BM21" s="5">
        <f t="shared" si="41"/>
        <v>5766.3912833801905</v>
      </c>
      <c r="BN21" s="5">
        <f t="shared" si="42"/>
        <v>1423.4593773342892</v>
      </c>
    </row>
    <row r="22" spans="1:68" x14ac:dyDescent="0.25">
      <c r="A22" s="29">
        <v>11049</v>
      </c>
      <c r="C22" s="3">
        <v>1600000</v>
      </c>
      <c r="D22" s="3">
        <v>457075</v>
      </c>
      <c r="E22" s="3">
        <f t="shared" si="0"/>
        <v>2057075</v>
      </c>
      <c r="F22" s="3">
        <v>112831</v>
      </c>
      <c r="H22" s="5">
        <f t="shared" si="2"/>
        <v>860108.11132566514</v>
      </c>
      <c r="I22" s="5">
        <f>N22+S22+X22+AC22+AH22+AM22+AR22+AW22+BB22+BG22+BL22</f>
        <v>245708.6968651115</v>
      </c>
      <c r="J22" s="5">
        <f t="shared" si="16"/>
        <v>1105816.8081907767</v>
      </c>
      <c r="K22" s="5">
        <f>P22+U22+Z22+AE22+AJ22+AO22+AT22+AY22+BD22+BI22+BN22</f>
        <v>60654.286443116325</v>
      </c>
      <c r="M22" s="5">
        <f t="shared" si="17"/>
        <v>310446.99111415941</v>
      </c>
      <c r="N22" s="5">
        <f t="shared" si="18"/>
        <v>88685.974039690263</v>
      </c>
      <c r="O22" s="5">
        <f t="shared" si="3"/>
        <v>399132.96515384968</v>
      </c>
      <c r="P22" s="5">
        <f t="shared" si="19"/>
        <v>21892.527784001075</v>
      </c>
      <c r="R22" s="5">
        <f t="shared" si="43"/>
        <v>206712.28786339596</v>
      </c>
      <c r="S22" s="5">
        <f t="shared" si="44"/>
        <v>59051.886859476072</v>
      </c>
      <c r="T22" s="5">
        <f t="shared" si="1"/>
        <v>265764.17472287203</v>
      </c>
      <c r="U22" s="5">
        <f t="shared" si="20"/>
        <v>14577.221344946769</v>
      </c>
      <c r="W22" s="5">
        <f t="shared" si="21"/>
        <v>67592.891472241899</v>
      </c>
      <c r="X22" s="5">
        <f t="shared" si="22"/>
        <v>19309.388043546853</v>
      </c>
      <c r="Y22" s="5">
        <f t="shared" si="23"/>
        <v>86902.279515788745</v>
      </c>
      <c r="Z22" s="5">
        <f t="shared" si="24"/>
        <v>4766.6084610653288</v>
      </c>
      <c r="AB22" s="66">
        <f t="shared" si="25"/>
        <v>95480.443712291686</v>
      </c>
      <c r="AC22" s="66">
        <f t="shared" si="26"/>
        <v>27276.077381122326</v>
      </c>
      <c r="AD22" s="5">
        <f t="shared" si="27"/>
        <v>122756.52109341402</v>
      </c>
      <c r="AE22" s="5">
        <f t="shared" si="28"/>
        <v>6733.2212153134897</v>
      </c>
      <c r="AG22" s="5">
        <f t="shared" si="45"/>
        <v>1101.3985666284302</v>
      </c>
      <c r="AH22" s="5">
        <f t="shared" si="46"/>
        <v>314.63859365105611</v>
      </c>
      <c r="AI22" s="5">
        <f t="shared" si="29"/>
        <v>1416.0371602794862</v>
      </c>
      <c r="AJ22" s="5">
        <f t="shared" si="30"/>
        <v>77.669938544532755</v>
      </c>
      <c r="AL22" s="5">
        <f t="shared" si="4"/>
        <v>29278.044162042504</v>
      </c>
      <c r="AM22" s="5">
        <f t="shared" si="5"/>
        <v>8363.9137721034858</v>
      </c>
      <c r="AN22" s="5">
        <f t="shared" si="31"/>
        <v>37641.95793414599</v>
      </c>
      <c r="AO22" s="5">
        <f t="shared" si="32"/>
        <v>2064.669375529636</v>
      </c>
      <c r="AQ22" s="5">
        <f t="shared" si="6"/>
        <v>10264.742549610526</v>
      </c>
      <c r="AR22" s="5">
        <f t="shared" si="7"/>
        <v>2932.3482505395195</v>
      </c>
      <c r="AS22" s="5">
        <f t="shared" si="33"/>
        <v>13197.090800150047</v>
      </c>
      <c r="AT22" s="5">
        <f t="shared" si="34"/>
        <v>723.86322913444076</v>
      </c>
      <c r="AV22" s="5">
        <f t="shared" si="8"/>
        <v>12166.586107768611</v>
      </c>
      <c r="AW22" s="5">
        <f t="shared" si="9"/>
        <v>3475.6514657552116</v>
      </c>
      <c r="AX22" s="5">
        <f t="shared" si="35"/>
        <v>15642.237573523824</v>
      </c>
      <c r="AY22" s="5">
        <f t="shared" si="36"/>
        <v>857.98004820352514</v>
      </c>
      <c r="BA22" s="5">
        <f t="shared" si="10"/>
        <v>13999.287261313431</v>
      </c>
      <c r="BB22" s="5">
        <f t="shared" si="11"/>
        <v>3999.2026406030227</v>
      </c>
      <c r="BC22" s="5">
        <f t="shared" si="37"/>
        <v>17998.489901916455</v>
      </c>
      <c r="BD22" s="5">
        <f t="shared" si="38"/>
        <v>987.22098811328487</v>
      </c>
      <c r="BF22" s="5">
        <f t="shared" si="12"/>
        <v>92880.072759152448</v>
      </c>
      <c r="BG22" s="5">
        <f t="shared" si="13"/>
        <v>26533.224535243502</v>
      </c>
      <c r="BH22" s="5">
        <f t="shared" si="39"/>
        <v>119413.29729439595</v>
      </c>
      <c r="BI22" s="5">
        <f t="shared" si="40"/>
        <v>6549.8446809299558</v>
      </c>
      <c r="BK22" s="5">
        <f t="shared" si="14"/>
        <v>20185.36575706023</v>
      </c>
      <c r="BL22" s="5">
        <f t="shared" si="15"/>
        <v>5766.3912833801905</v>
      </c>
      <c r="BM22" s="5">
        <f t="shared" si="41"/>
        <v>25951.757040440421</v>
      </c>
      <c r="BN22" s="5">
        <f t="shared" si="42"/>
        <v>1423.4593773342892</v>
      </c>
    </row>
    <row r="23" spans="1:68" x14ac:dyDescent="0.25">
      <c r="A23" s="29">
        <v>11232</v>
      </c>
      <c r="D23" s="3">
        <v>417075</v>
      </c>
      <c r="E23" s="3">
        <f t="shared" si="0"/>
        <v>417075</v>
      </c>
      <c r="F23" s="3">
        <v>112831</v>
      </c>
      <c r="H23" s="5">
        <f t="shared" si="2"/>
        <v>0</v>
      </c>
      <c r="I23" s="5">
        <f>N23+S23+X23+AC23+AH23+AM23+AR23+AW23+BB23+BG23+BL23</f>
        <v>224205.99408196987</v>
      </c>
      <c r="J23" s="5">
        <f t="shared" si="16"/>
        <v>224205.99408196987</v>
      </c>
      <c r="K23" s="5">
        <f>P23+U23+Z23+AE23+AJ23+AO23+AT23+AY23+BD23+BI23+BN23</f>
        <v>60654.286443116325</v>
      </c>
      <c r="N23" s="5">
        <f t="shared" si="18"/>
        <v>80924.799261836277</v>
      </c>
      <c r="O23" s="5">
        <f t="shared" si="3"/>
        <v>80924.799261836277</v>
      </c>
      <c r="P23" s="5">
        <f t="shared" si="19"/>
        <v>21892.527784001075</v>
      </c>
      <c r="R23" s="5">
        <f t="shared" si="43"/>
        <v>0</v>
      </c>
      <c r="S23" s="5">
        <f t="shared" si="44"/>
        <v>53884.07966289117</v>
      </c>
      <c r="T23" s="5">
        <f t="shared" si="1"/>
        <v>53884.07966289117</v>
      </c>
      <c r="U23" s="5">
        <f t="shared" si="20"/>
        <v>14577.221344946769</v>
      </c>
      <c r="W23" s="5">
        <f t="shared" si="21"/>
        <v>0</v>
      </c>
      <c r="X23" s="5">
        <f t="shared" si="22"/>
        <v>17619.565756740805</v>
      </c>
      <c r="Y23" s="5">
        <f t="shared" si="23"/>
        <v>17619.565756740805</v>
      </c>
      <c r="Z23" s="5">
        <f t="shared" si="24"/>
        <v>4766.6084610653288</v>
      </c>
      <c r="AB23" s="66">
        <f t="shared" si="25"/>
        <v>0</v>
      </c>
      <c r="AC23" s="66">
        <f t="shared" si="26"/>
        <v>24889.066288315033</v>
      </c>
      <c r="AD23" s="5">
        <f t="shared" si="27"/>
        <v>24889.066288315033</v>
      </c>
      <c r="AE23" s="5">
        <f t="shared" si="28"/>
        <v>6733.2212153134897</v>
      </c>
      <c r="AG23" s="5">
        <f t="shared" si="45"/>
        <v>0</v>
      </c>
      <c r="AH23" s="5">
        <f t="shared" si="46"/>
        <v>287.10362948534532</v>
      </c>
      <c r="AI23" s="5">
        <f t="shared" si="29"/>
        <v>287.10362948534532</v>
      </c>
      <c r="AJ23" s="5">
        <f t="shared" si="30"/>
        <v>77.669938544532755</v>
      </c>
      <c r="AL23" s="5">
        <f t="shared" si="4"/>
        <v>0</v>
      </c>
      <c r="AM23" s="5">
        <f t="shared" si="5"/>
        <v>7631.9626680524234</v>
      </c>
      <c r="AN23" s="5">
        <f t="shared" si="31"/>
        <v>7631.9626680524234</v>
      </c>
      <c r="AO23" s="5">
        <f t="shared" si="32"/>
        <v>2064.669375529636</v>
      </c>
      <c r="AQ23" s="5">
        <f t="shared" si="6"/>
        <v>0</v>
      </c>
      <c r="AR23" s="5">
        <f t="shared" si="7"/>
        <v>2675.7296867992563</v>
      </c>
      <c r="AS23" s="5">
        <f t="shared" si="33"/>
        <v>2675.7296867992563</v>
      </c>
      <c r="AT23" s="5">
        <f t="shared" si="34"/>
        <v>723.86322913444076</v>
      </c>
      <c r="AV23" s="5">
        <f t="shared" si="8"/>
        <v>0</v>
      </c>
      <c r="AW23" s="5">
        <f t="shared" si="9"/>
        <v>3171.4868130609962</v>
      </c>
      <c r="AX23" s="5">
        <f t="shared" si="35"/>
        <v>3171.4868130609962</v>
      </c>
      <c r="AY23" s="5">
        <f t="shared" si="36"/>
        <v>857.98004820352514</v>
      </c>
      <c r="BA23" s="5">
        <f t="shared" si="10"/>
        <v>0</v>
      </c>
      <c r="BB23" s="5">
        <f t="shared" si="11"/>
        <v>3649.2204590701872</v>
      </c>
      <c r="BC23" s="5">
        <f t="shared" si="37"/>
        <v>3649.2204590701872</v>
      </c>
      <c r="BD23" s="5">
        <f t="shared" si="38"/>
        <v>987.22098811328487</v>
      </c>
      <c r="BF23" s="5">
        <f t="shared" si="12"/>
        <v>0</v>
      </c>
      <c r="BG23" s="5">
        <f t="shared" si="13"/>
        <v>24211.222716264692</v>
      </c>
      <c r="BH23" s="5">
        <f t="shared" si="39"/>
        <v>24211.222716264692</v>
      </c>
      <c r="BI23" s="5">
        <f t="shared" si="40"/>
        <v>6549.8446809299558</v>
      </c>
      <c r="BK23" s="5">
        <f t="shared" si="14"/>
        <v>0</v>
      </c>
      <c r="BL23" s="5">
        <f t="shared" si="15"/>
        <v>5261.7571394536844</v>
      </c>
      <c r="BM23" s="5">
        <f t="shared" si="41"/>
        <v>5261.7571394536844</v>
      </c>
      <c r="BN23" s="5">
        <f t="shared" si="42"/>
        <v>1423.4593773342892</v>
      </c>
    </row>
    <row r="24" spans="1:68" x14ac:dyDescent="0.25">
      <c r="A24" s="29">
        <v>11414</v>
      </c>
      <c r="C24" s="3">
        <v>1680000</v>
      </c>
      <c r="D24" s="3">
        <v>417075</v>
      </c>
      <c r="E24" s="3">
        <f t="shared" si="0"/>
        <v>2097075</v>
      </c>
      <c r="F24" s="3">
        <v>112831</v>
      </c>
      <c r="H24" s="5">
        <f t="shared" si="2"/>
        <v>903113.5168919483</v>
      </c>
      <c r="I24" s="5">
        <f>N24+S24+X24+AC24+AH24+AM24+AR24+AW24+BB24+BG24+BL24</f>
        <v>224205.99408196987</v>
      </c>
      <c r="J24" s="5">
        <f t="shared" si="16"/>
        <v>1127319.5109739183</v>
      </c>
      <c r="K24" s="5">
        <f>P24+U24+Z24+AE24+AJ24+AO24+AT24+AY24+BD24+BI24+BN24</f>
        <v>60654.286443116325</v>
      </c>
      <c r="M24" s="5">
        <f t="shared" si="17"/>
        <v>325969.34066986741</v>
      </c>
      <c r="N24" s="5">
        <f t="shared" si="18"/>
        <v>80924.799261836277</v>
      </c>
      <c r="O24" s="5">
        <f t="shared" si="3"/>
        <v>406894.13993170368</v>
      </c>
      <c r="P24" s="5">
        <f t="shared" si="19"/>
        <v>21892.527784001075</v>
      </c>
      <c r="R24" s="5">
        <f t="shared" si="43"/>
        <v>217047.90225656578</v>
      </c>
      <c r="S24" s="5">
        <f t="shared" si="44"/>
        <v>53884.07966289117</v>
      </c>
      <c r="T24" s="5">
        <f t="shared" si="1"/>
        <v>270931.98191945697</v>
      </c>
      <c r="U24" s="5">
        <f t="shared" si="20"/>
        <v>14577.221344946769</v>
      </c>
      <c r="W24" s="5">
        <f t="shared" si="21"/>
        <v>70972.536045853994</v>
      </c>
      <c r="X24" s="5">
        <f t="shared" si="22"/>
        <v>17619.565756740805</v>
      </c>
      <c r="Y24" s="5">
        <f t="shared" si="23"/>
        <v>88592.1018025948</v>
      </c>
      <c r="Z24" s="5">
        <f t="shared" si="24"/>
        <v>4766.6084610653288</v>
      </c>
      <c r="AB24" s="66">
        <f t="shared" si="25"/>
        <v>100254.46589790627</v>
      </c>
      <c r="AC24" s="66">
        <f t="shared" si="26"/>
        <v>24889.066288315033</v>
      </c>
      <c r="AD24" s="5">
        <f t="shared" si="27"/>
        <v>125143.5321862213</v>
      </c>
      <c r="AE24" s="5">
        <f t="shared" si="28"/>
        <v>6733.2212153134897</v>
      </c>
      <c r="AG24" s="5">
        <f t="shared" si="45"/>
        <v>1156.4684949598518</v>
      </c>
      <c r="AH24" s="5">
        <f t="shared" si="46"/>
        <v>287.10362948534532</v>
      </c>
      <c r="AI24" s="5">
        <f t="shared" si="29"/>
        <v>1443.572124445197</v>
      </c>
      <c r="AJ24" s="5">
        <f t="shared" si="30"/>
        <v>77.669938544532755</v>
      </c>
      <c r="AL24" s="5">
        <f t="shared" si="4"/>
        <v>30741.946370144629</v>
      </c>
      <c r="AM24" s="5">
        <f t="shared" si="5"/>
        <v>7631.9626680524234</v>
      </c>
      <c r="AN24" s="5">
        <f t="shared" si="31"/>
        <v>38373.909038197053</v>
      </c>
      <c r="AO24" s="5">
        <f t="shared" si="32"/>
        <v>2064.669375529636</v>
      </c>
      <c r="AQ24" s="5">
        <f t="shared" si="6"/>
        <v>10777.979677091053</v>
      </c>
      <c r="AR24" s="5">
        <f t="shared" si="7"/>
        <v>2675.7296867992563</v>
      </c>
      <c r="AS24" s="5">
        <f t="shared" si="33"/>
        <v>13453.70936389031</v>
      </c>
      <c r="AT24" s="5">
        <f t="shared" si="34"/>
        <v>723.86322913444076</v>
      </c>
      <c r="AV24" s="5">
        <f t="shared" si="8"/>
        <v>12774.915413157043</v>
      </c>
      <c r="AW24" s="5">
        <f t="shared" si="9"/>
        <v>3171.4868130609962</v>
      </c>
      <c r="AX24" s="5">
        <f t="shared" si="35"/>
        <v>15946.402226218039</v>
      </c>
      <c r="AY24" s="5">
        <f t="shared" si="36"/>
        <v>857.98004820352514</v>
      </c>
      <c r="BA24" s="5">
        <f t="shared" si="10"/>
        <v>14699.251624379103</v>
      </c>
      <c r="BB24" s="5">
        <f t="shared" si="11"/>
        <v>3649.2204590701872</v>
      </c>
      <c r="BC24" s="5">
        <f t="shared" si="37"/>
        <v>18348.472083449291</v>
      </c>
      <c r="BD24" s="5">
        <f t="shared" si="38"/>
        <v>987.22098811328487</v>
      </c>
      <c r="BF24" s="5">
        <f t="shared" si="12"/>
        <v>97524.076397110068</v>
      </c>
      <c r="BG24" s="5">
        <f t="shared" si="13"/>
        <v>24211.222716264692</v>
      </c>
      <c r="BH24" s="5">
        <f t="shared" si="39"/>
        <v>121735.29911337476</v>
      </c>
      <c r="BI24" s="5">
        <f t="shared" si="40"/>
        <v>6549.8446809299558</v>
      </c>
      <c r="BK24" s="5">
        <f t="shared" si="14"/>
        <v>21194.634044913244</v>
      </c>
      <c r="BL24" s="5">
        <f t="shared" si="15"/>
        <v>5261.7571394536844</v>
      </c>
      <c r="BM24" s="5">
        <f t="shared" si="41"/>
        <v>26456.391184366927</v>
      </c>
      <c r="BN24" s="5">
        <f t="shared" si="42"/>
        <v>1423.4593773342892</v>
      </c>
    </row>
    <row r="25" spans="1:68" x14ac:dyDescent="0.25">
      <c r="A25" s="29">
        <v>11597</v>
      </c>
      <c r="D25" s="3">
        <v>375075</v>
      </c>
      <c r="E25" s="3">
        <f t="shared" si="0"/>
        <v>375075</v>
      </c>
      <c r="F25" s="3">
        <v>112831</v>
      </c>
      <c r="H25" s="5">
        <f t="shared" si="2"/>
        <v>0</v>
      </c>
      <c r="I25" s="5">
        <f>N25+S25+X25+AC25+AH25+AM25+AR25+AW25+BB25+BG25+BL25</f>
        <v>201628.15615967114</v>
      </c>
      <c r="J25" s="5">
        <f t="shared" si="16"/>
        <v>201628.15615967114</v>
      </c>
      <c r="K25" s="5">
        <f>P25+U25+Z25+AE25+AJ25+AO25+AT25+AY25+BD25+BI25+BN25</f>
        <v>60654.286443116325</v>
      </c>
      <c r="N25" s="5">
        <f t="shared" si="18"/>
        <v>72775.565745089581</v>
      </c>
      <c r="O25" s="5">
        <f t="shared" si="3"/>
        <v>72775.565745089581</v>
      </c>
      <c r="P25" s="5">
        <f t="shared" si="19"/>
        <v>21892.527784001075</v>
      </c>
      <c r="R25" s="5">
        <f t="shared" si="43"/>
        <v>0</v>
      </c>
      <c r="S25" s="5">
        <f t="shared" si="44"/>
        <v>48457.882106477031</v>
      </c>
      <c r="T25" s="5">
        <f t="shared" si="1"/>
        <v>48457.882106477031</v>
      </c>
      <c r="U25" s="5">
        <f t="shared" si="20"/>
        <v>14577.221344946769</v>
      </c>
      <c r="W25" s="5">
        <f t="shared" si="21"/>
        <v>0</v>
      </c>
      <c r="X25" s="5">
        <f t="shared" si="22"/>
        <v>15845.252355594457</v>
      </c>
      <c r="Y25" s="5">
        <f t="shared" si="23"/>
        <v>15845.252355594457</v>
      </c>
      <c r="Z25" s="5">
        <f t="shared" si="24"/>
        <v>4766.6084610653288</v>
      </c>
      <c r="AB25" s="66">
        <f t="shared" si="25"/>
        <v>0</v>
      </c>
      <c r="AC25" s="66">
        <f t="shared" si="26"/>
        <v>22382.704640867378</v>
      </c>
      <c r="AD25" s="5">
        <f t="shared" si="27"/>
        <v>22382.704640867378</v>
      </c>
      <c r="AE25" s="5">
        <f t="shared" si="28"/>
        <v>6733.2212153134897</v>
      </c>
      <c r="AG25" s="5">
        <f t="shared" si="45"/>
        <v>0</v>
      </c>
      <c r="AH25" s="5">
        <f t="shared" si="46"/>
        <v>258.19191711134903</v>
      </c>
      <c r="AI25" s="5">
        <f t="shared" si="29"/>
        <v>258.19191711134903</v>
      </c>
      <c r="AJ25" s="5">
        <f t="shared" si="30"/>
        <v>77.669938544532755</v>
      </c>
      <c r="AL25" s="5">
        <f t="shared" si="4"/>
        <v>0</v>
      </c>
      <c r="AM25" s="5">
        <f t="shared" si="5"/>
        <v>6863.414008798808</v>
      </c>
      <c r="AN25" s="5">
        <f t="shared" si="31"/>
        <v>6863.414008798808</v>
      </c>
      <c r="AO25" s="5">
        <f t="shared" si="32"/>
        <v>2064.669375529636</v>
      </c>
      <c r="AQ25" s="5">
        <f t="shared" si="6"/>
        <v>0</v>
      </c>
      <c r="AR25" s="5">
        <f t="shared" si="7"/>
        <v>2406.2801948719798</v>
      </c>
      <c r="AS25" s="5">
        <f t="shared" si="33"/>
        <v>2406.2801948719798</v>
      </c>
      <c r="AT25" s="5">
        <f t="shared" si="34"/>
        <v>723.86322913444076</v>
      </c>
      <c r="AV25" s="5">
        <f t="shared" si="8"/>
        <v>0</v>
      </c>
      <c r="AW25" s="5">
        <f t="shared" si="9"/>
        <v>2852.1139277320704</v>
      </c>
      <c r="AX25" s="5">
        <f t="shared" si="35"/>
        <v>2852.1139277320704</v>
      </c>
      <c r="AY25" s="5">
        <f t="shared" si="36"/>
        <v>857.98004820352514</v>
      </c>
      <c r="BA25" s="5">
        <f t="shared" si="10"/>
        <v>0</v>
      </c>
      <c r="BB25" s="5">
        <f t="shared" si="11"/>
        <v>3281.7391684607096</v>
      </c>
      <c r="BC25" s="5">
        <f t="shared" si="37"/>
        <v>3281.7391684607096</v>
      </c>
      <c r="BD25" s="5">
        <f t="shared" si="38"/>
        <v>987.22098811328487</v>
      </c>
      <c r="BF25" s="5">
        <f t="shared" si="12"/>
        <v>0</v>
      </c>
      <c r="BG25" s="5">
        <f t="shared" si="13"/>
        <v>21773.120806336938</v>
      </c>
      <c r="BH25" s="5">
        <f t="shared" si="39"/>
        <v>21773.120806336938</v>
      </c>
      <c r="BI25" s="5">
        <f t="shared" si="40"/>
        <v>6549.8446809299558</v>
      </c>
      <c r="BK25" s="5">
        <f t="shared" si="14"/>
        <v>0</v>
      </c>
      <c r="BL25" s="5">
        <f t="shared" si="15"/>
        <v>4731.891288330854</v>
      </c>
      <c r="BM25" s="5">
        <f t="shared" si="41"/>
        <v>4731.891288330854</v>
      </c>
      <c r="BN25" s="5">
        <f t="shared" si="42"/>
        <v>1423.4593773342892</v>
      </c>
    </row>
    <row r="26" spans="1:68" x14ac:dyDescent="0.25">
      <c r="A26" s="29">
        <v>11780</v>
      </c>
      <c r="C26" s="3">
        <v>1765000</v>
      </c>
      <c r="D26" s="3">
        <v>375075</v>
      </c>
      <c r="E26" s="3">
        <f t="shared" si="0"/>
        <v>2140075</v>
      </c>
      <c r="F26" s="3">
        <v>112831</v>
      </c>
      <c r="H26" s="5">
        <f t="shared" si="2"/>
        <v>948806.76030612434</v>
      </c>
      <c r="I26" s="5">
        <f>N26+S26+X26+AC26+AH26+AM26+AR26+AW26+BB26+BG26+BL26</f>
        <v>201628.15615967114</v>
      </c>
      <c r="J26" s="5">
        <f t="shared" si="16"/>
        <v>1150434.9164657956</v>
      </c>
      <c r="K26" s="5">
        <f>P26+U26+Z26+AE26+AJ26+AO26+AT26+AY26+BD26+BI26+BN26</f>
        <v>60654.286443116325</v>
      </c>
      <c r="M26" s="5">
        <f t="shared" si="17"/>
        <v>342461.83707280707</v>
      </c>
      <c r="N26" s="5">
        <f t="shared" si="18"/>
        <v>72775.565745089581</v>
      </c>
      <c r="O26" s="5">
        <f t="shared" si="3"/>
        <v>415237.40281789668</v>
      </c>
      <c r="P26" s="5">
        <f t="shared" si="19"/>
        <v>21892.527784001075</v>
      </c>
      <c r="R26" s="5">
        <f t="shared" si="43"/>
        <v>228029.49254930869</v>
      </c>
      <c r="S26" s="5">
        <f t="shared" si="44"/>
        <v>48457.882106477031</v>
      </c>
      <c r="T26" s="5">
        <f t="shared" si="1"/>
        <v>276487.37465578574</v>
      </c>
      <c r="U26" s="5">
        <f t="shared" si="20"/>
        <v>14577.221344946769</v>
      </c>
      <c r="W26" s="5">
        <f t="shared" si="21"/>
        <v>74563.408405316848</v>
      </c>
      <c r="X26" s="5">
        <f t="shared" si="22"/>
        <v>15845.252355594457</v>
      </c>
      <c r="Y26" s="5">
        <f t="shared" si="23"/>
        <v>90408.660760911298</v>
      </c>
      <c r="Z26" s="5">
        <f t="shared" si="24"/>
        <v>4766.6084610653288</v>
      </c>
      <c r="AB26" s="66">
        <f t="shared" si="25"/>
        <v>105326.86447012177</v>
      </c>
      <c r="AC26" s="66">
        <f t="shared" si="26"/>
        <v>22382.704640867378</v>
      </c>
      <c r="AD26" s="5">
        <f t="shared" si="27"/>
        <v>127709.56911098915</v>
      </c>
      <c r="AE26" s="5">
        <f t="shared" si="28"/>
        <v>6733.2212153134897</v>
      </c>
      <c r="AG26" s="5">
        <f t="shared" si="45"/>
        <v>1214.9802938119872</v>
      </c>
      <c r="AH26" s="5">
        <f t="shared" si="46"/>
        <v>258.19191711134903</v>
      </c>
      <c r="AI26" s="5">
        <f t="shared" si="29"/>
        <v>1473.1722109233363</v>
      </c>
      <c r="AJ26" s="5">
        <f t="shared" si="30"/>
        <v>77.669938544532755</v>
      </c>
      <c r="AL26" s="5">
        <f t="shared" si="4"/>
        <v>32297.34246625314</v>
      </c>
      <c r="AM26" s="5">
        <f t="shared" si="5"/>
        <v>6863.414008798808</v>
      </c>
      <c r="AN26" s="5">
        <f t="shared" si="31"/>
        <v>39160.756475051945</v>
      </c>
      <c r="AO26" s="5">
        <f t="shared" si="32"/>
        <v>2064.669375529636</v>
      </c>
      <c r="AQ26" s="5">
        <f t="shared" si="6"/>
        <v>11323.29412503911</v>
      </c>
      <c r="AR26" s="5">
        <f t="shared" si="7"/>
        <v>2406.2801948719798</v>
      </c>
      <c r="AS26" s="5">
        <f t="shared" si="33"/>
        <v>13729.574319911091</v>
      </c>
      <c r="AT26" s="5">
        <f t="shared" si="34"/>
        <v>723.86322913444076</v>
      </c>
      <c r="AV26" s="5">
        <f t="shared" si="8"/>
        <v>13421.265300132251</v>
      </c>
      <c r="AW26" s="5">
        <f t="shared" si="9"/>
        <v>2852.1139277320704</v>
      </c>
      <c r="AX26" s="5">
        <f t="shared" si="35"/>
        <v>16273.379227864321</v>
      </c>
      <c r="AY26" s="5">
        <f t="shared" si="36"/>
        <v>857.98004820352514</v>
      </c>
      <c r="BA26" s="5">
        <f t="shared" si="10"/>
        <v>15442.963760136379</v>
      </c>
      <c r="BB26" s="5">
        <f t="shared" si="11"/>
        <v>3281.7391684607096</v>
      </c>
      <c r="BC26" s="5">
        <f t="shared" si="37"/>
        <v>18724.702928597089</v>
      </c>
      <c r="BD26" s="5">
        <f t="shared" si="38"/>
        <v>987.22098811328487</v>
      </c>
      <c r="BF26" s="5">
        <f t="shared" si="12"/>
        <v>102458.33026244004</v>
      </c>
      <c r="BG26" s="5">
        <f t="shared" si="13"/>
        <v>21773.120806336938</v>
      </c>
      <c r="BH26" s="5">
        <f t="shared" si="39"/>
        <v>124231.45106877698</v>
      </c>
      <c r="BI26" s="5">
        <f t="shared" si="40"/>
        <v>6549.8446809299558</v>
      </c>
      <c r="BK26" s="5">
        <f t="shared" si="14"/>
        <v>22266.981600757066</v>
      </c>
      <c r="BL26" s="5">
        <f t="shared" si="15"/>
        <v>4731.891288330854</v>
      </c>
      <c r="BM26" s="5">
        <f t="shared" si="41"/>
        <v>26998.872889087921</v>
      </c>
      <c r="BN26" s="5">
        <f t="shared" si="42"/>
        <v>1423.4593773342892</v>
      </c>
    </row>
    <row r="27" spans="1:68" x14ac:dyDescent="0.25">
      <c r="A27" s="29">
        <v>11963</v>
      </c>
      <c r="D27" s="3">
        <v>330950</v>
      </c>
      <c r="E27" s="3">
        <f t="shared" si="0"/>
        <v>330950</v>
      </c>
      <c r="F27" s="3">
        <v>112831</v>
      </c>
      <c r="H27" s="5">
        <f t="shared" si="2"/>
        <v>0</v>
      </c>
      <c r="I27" s="5">
        <f>N27+S27+X27+AC27+AH27+AM27+AR27+AW27+BB27+BG27+BL27</f>
        <v>177907.98715201806</v>
      </c>
      <c r="J27" s="5">
        <f t="shared" si="16"/>
        <v>177907.98715201806</v>
      </c>
      <c r="K27" s="5">
        <f>P27+U27+Z27+AE27+AJ27+AO27+AT27+AY27+BD27+BI27+BN27</f>
        <v>60654.286443116325</v>
      </c>
      <c r="L27"/>
      <c r="N27" s="5">
        <f t="shared" si="18"/>
        <v>64214.019818269408</v>
      </c>
      <c r="O27" s="5">
        <f t="shared" si="3"/>
        <v>64214.019818269408</v>
      </c>
      <c r="P27" s="5">
        <f t="shared" si="19"/>
        <v>21892.527784001075</v>
      </c>
      <c r="Q27"/>
      <c r="R27" s="5">
        <f t="shared" si="43"/>
        <v>0</v>
      </c>
      <c r="S27" s="5">
        <f t="shared" si="44"/>
        <v>42757.144792744308</v>
      </c>
      <c r="T27" s="5">
        <f t="shared" si="1"/>
        <v>42757.144792744308</v>
      </c>
      <c r="U27" s="5">
        <f t="shared" si="20"/>
        <v>14577.221344946769</v>
      </c>
      <c r="V27"/>
      <c r="W27" s="5">
        <f t="shared" si="21"/>
        <v>0</v>
      </c>
      <c r="X27" s="5">
        <f t="shared" si="22"/>
        <v>13981.167145461535</v>
      </c>
      <c r="Y27" s="5">
        <f t="shared" si="23"/>
        <v>13981.167145461535</v>
      </c>
      <c r="Z27" s="5">
        <f t="shared" si="24"/>
        <v>4766.6084610653288</v>
      </c>
      <c r="AA27"/>
      <c r="AB27" s="66">
        <f t="shared" si="25"/>
        <v>0</v>
      </c>
      <c r="AC27" s="66">
        <f t="shared" si="26"/>
        <v>19749.533029114333</v>
      </c>
      <c r="AD27" s="5">
        <f t="shared" si="27"/>
        <v>19749.533029114333</v>
      </c>
      <c r="AE27" s="5">
        <f t="shared" si="28"/>
        <v>6733.2212153134897</v>
      </c>
      <c r="AF27"/>
      <c r="AG27" s="5">
        <f t="shared" si="45"/>
        <v>0</v>
      </c>
      <c r="AH27" s="5">
        <f t="shared" si="46"/>
        <v>227.81740976604937</v>
      </c>
      <c r="AI27" s="5">
        <f t="shared" si="29"/>
        <v>227.81740976604937</v>
      </c>
      <c r="AJ27" s="5">
        <f t="shared" si="30"/>
        <v>77.669938544532755</v>
      </c>
      <c r="AK27"/>
      <c r="AL27" s="5">
        <f t="shared" si="4"/>
        <v>0</v>
      </c>
      <c r="AM27" s="5">
        <f t="shared" si="5"/>
        <v>6055.9804471424795</v>
      </c>
      <c r="AN27" s="5">
        <f t="shared" si="31"/>
        <v>6055.9804471424795</v>
      </c>
      <c r="AO27" s="5">
        <f t="shared" si="32"/>
        <v>2064.669375529636</v>
      </c>
      <c r="AP27"/>
      <c r="AQ27" s="5">
        <f t="shared" si="6"/>
        <v>0</v>
      </c>
      <c r="AR27" s="5">
        <f t="shared" si="7"/>
        <v>2123.1978417460023</v>
      </c>
      <c r="AS27" s="5">
        <f t="shared" si="33"/>
        <v>2123.1978417460023</v>
      </c>
      <c r="AT27" s="5">
        <f t="shared" si="34"/>
        <v>723.86322913444076</v>
      </c>
      <c r="AU27"/>
      <c r="AV27" s="5">
        <f t="shared" si="8"/>
        <v>0</v>
      </c>
      <c r="AW27" s="5">
        <f t="shared" si="9"/>
        <v>2516.582295228764</v>
      </c>
      <c r="AX27" s="5">
        <f t="shared" si="35"/>
        <v>2516.582295228764</v>
      </c>
      <c r="AY27" s="5">
        <f t="shared" si="36"/>
        <v>857.98004820352514</v>
      </c>
      <c r="AZ27"/>
      <c r="BA27" s="5">
        <f t="shared" si="10"/>
        <v>0</v>
      </c>
      <c r="BB27" s="5">
        <f t="shared" si="11"/>
        <v>2895.6650744572999</v>
      </c>
      <c r="BC27" s="5">
        <f t="shared" si="37"/>
        <v>2895.6650744572999</v>
      </c>
      <c r="BD27" s="5">
        <f t="shared" si="38"/>
        <v>987.22098811328487</v>
      </c>
      <c r="BE27"/>
      <c r="BF27" s="5">
        <f t="shared" si="12"/>
        <v>0</v>
      </c>
      <c r="BG27" s="5">
        <f t="shared" si="13"/>
        <v>19211.662549775938</v>
      </c>
      <c r="BH27" s="5">
        <f t="shared" si="39"/>
        <v>19211.662549775938</v>
      </c>
      <c r="BI27" s="5">
        <f t="shared" si="40"/>
        <v>6549.8446809299558</v>
      </c>
      <c r="BJ27"/>
      <c r="BK27" s="5">
        <f t="shared" si="14"/>
        <v>0</v>
      </c>
      <c r="BL27" s="5">
        <f t="shared" si="15"/>
        <v>4175.2167483119274</v>
      </c>
      <c r="BM27" s="5">
        <f t="shared" si="41"/>
        <v>4175.2167483119274</v>
      </c>
      <c r="BN27" s="5">
        <f t="shared" si="42"/>
        <v>1423.4593773342892</v>
      </c>
      <c r="BO27"/>
      <c r="BP27"/>
    </row>
    <row r="28" spans="1:68" x14ac:dyDescent="0.25">
      <c r="A28" s="29">
        <v>12145</v>
      </c>
      <c r="C28" s="3">
        <v>1855000</v>
      </c>
      <c r="D28" s="3">
        <v>330950</v>
      </c>
      <c r="E28" s="3">
        <f t="shared" si="0"/>
        <v>2185950</v>
      </c>
      <c r="F28" s="3">
        <v>112831</v>
      </c>
      <c r="H28" s="5">
        <f t="shared" si="2"/>
        <v>997187.84156819293</v>
      </c>
      <c r="I28" s="5">
        <f>N28+S28+X28+AC28+AH28+AM28+AR28+AW28+BB28+BG28+BL28</f>
        <v>177907.98715201806</v>
      </c>
      <c r="J28" s="5">
        <f t="shared" si="16"/>
        <v>1175095.8287202111</v>
      </c>
      <c r="K28" s="5">
        <f>P28+U28+Z28+AE28+AJ28+AO28+AT28+AY28+BD28+BI28+BN28</f>
        <v>60654.286443116325</v>
      </c>
      <c r="M28" s="5">
        <f t="shared" si="17"/>
        <v>359924.48032297858</v>
      </c>
      <c r="N28" s="5">
        <f t="shared" si="18"/>
        <v>64214.019818269408</v>
      </c>
      <c r="O28" s="5">
        <f t="shared" si="3"/>
        <v>424138.50014124799</v>
      </c>
      <c r="P28" s="5">
        <f t="shared" si="19"/>
        <v>21892.527784001075</v>
      </c>
      <c r="R28" s="5">
        <f t="shared" si="43"/>
        <v>239657.0587416247</v>
      </c>
      <c r="S28" s="5">
        <f t="shared" si="44"/>
        <v>42757.144792744308</v>
      </c>
      <c r="T28" s="5">
        <f t="shared" si="1"/>
        <v>282414.20353436901</v>
      </c>
      <c r="U28" s="5">
        <f t="shared" si="20"/>
        <v>14577.221344946769</v>
      </c>
      <c r="W28" s="5">
        <f t="shared" si="21"/>
        <v>78365.50855063046</v>
      </c>
      <c r="X28" s="5">
        <f t="shared" si="22"/>
        <v>13981.167145461535</v>
      </c>
      <c r="Y28" s="5">
        <f t="shared" si="23"/>
        <v>92346.675696091988</v>
      </c>
      <c r="Z28" s="5">
        <f t="shared" si="24"/>
        <v>4766.6084610653288</v>
      </c>
      <c r="AB28" s="66">
        <f t="shared" si="25"/>
        <v>110697.63942893817</v>
      </c>
      <c r="AC28" s="66">
        <f t="shared" si="26"/>
        <v>19749.533029114333</v>
      </c>
      <c r="AD28" s="5">
        <f t="shared" si="27"/>
        <v>130447.1724580525</v>
      </c>
      <c r="AE28" s="5">
        <f t="shared" si="28"/>
        <v>6733.2212153134897</v>
      </c>
      <c r="AG28" s="5">
        <f t="shared" si="45"/>
        <v>1276.9339631848363</v>
      </c>
      <c r="AH28" s="5">
        <f t="shared" si="46"/>
        <v>227.81740976604937</v>
      </c>
      <c r="AI28" s="5">
        <f t="shared" si="29"/>
        <v>1504.7513729508858</v>
      </c>
      <c r="AJ28" s="5">
        <f t="shared" si="30"/>
        <v>77.669938544532755</v>
      </c>
      <c r="AL28" s="5">
        <f t="shared" si="4"/>
        <v>33944.232450368028</v>
      </c>
      <c r="AM28" s="5">
        <f t="shared" si="5"/>
        <v>6055.9804471424795</v>
      </c>
      <c r="AN28" s="5">
        <f t="shared" si="31"/>
        <v>40000.212897510508</v>
      </c>
      <c r="AO28" s="5">
        <f t="shared" si="32"/>
        <v>2064.669375529636</v>
      </c>
      <c r="AQ28" s="5">
        <f t="shared" si="6"/>
        <v>11900.685893454704</v>
      </c>
      <c r="AR28" s="5">
        <f t="shared" si="7"/>
        <v>2123.1978417460023</v>
      </c>
      <c r="AS28" s="5">
        <f t="shared" si="33"/>
        <v>14023.883735200707</v>
      </c>
      <c r="AT28" s="5">
        <f t="shared" si="34"/>
        <v>723.86322913444076</v>
      </c>
      <c r="AV28" s="5">
        <f t="shared" si="8"/>
        <v>14105.635768694236</v>
      </c>
      <c r="AW28" s="5">
        <f t="shared" si="9"/>
        <v>2516.582295228764</v>
      </c>
      <c r="AX28" s="5">
        <f t="shared" si="35"/>
        <v>16622.218063922999</v>
      </c>
      <c r="AY28" s="5">
        <f t="shared" si="36"/>
        <v>857.98004820352514</v>
      </c>
      <c r="BA28" s="5">
        <f t="shared" si="10"/>
        <v>16230.423668585259</v>
      </c>
      <c r="BB28" s="5">
        <f t="shared" si="11"/>
        <v>2895.6650744572999</v>
      </c>
      <c r="BC28" s="5">
        <f t="shared" si="37"/>
        <v>19126.088743042557</v>
      </c>
      <c r="BD28" s="5">
        <f t="shared" si="38"/>
        <v>987.22098811328487</v>
      </c>
      <c r="BF28" s="5">
        <f t="shared" si="12"/>
        <v>107682.83435514236</v>
      </c>
      <c r="BG28" s="5">
        <f t="shared" si="13"/>
        <v>19211.662549775938</v>
      </c>
      <c r="BH28" s="5">
        <f t="shared" si="39"/>
        <v>126894.4969049183</v>
      </c>
      <c r="BI28" s="5">
        <f t="shared" si="40"/>
        <v>6549.8446809299558</v>
      </c>
      <c r="BK28" s="5">
        <f t="shared" si="14"/>
        <v>23402.408424591704</v>
      </c>
      <c r="BL28" s="5">
        <f t="shared" si="15"/>
        <v>4175.2167483119274</v>
      </c>
      <c r="BM28" s="5">
        <f t="shared" si="41"/>
        <v>27577.62517290363</v>
      </c>
      <c r="BN28" s="5">
        <f t="shared" si="42"/>
        <v>1423.4593773342892</v>
      </c>
    </row>
    <row r="29" spans="1:68" x14ac:dyDescent="0.25">
      <c r="A29" s="29">
        <v>12328</v>
      </c>
      <c r="D29" s="3">
        <v>293850</v>
      </c>
      <c r="E29" s="3">
        <f t="shared" si="0"/>
        <v>293850</v>
      </c>
      <c r="F29" s="3">
        <v>112831</v>
      </c>
      <c r="H29" s="5">
        <f t="shared" si="2"/>
        <v>0</v>
      </c>
      <c r="I29" s="5">
        <f>N29+S29+X29+AC29+AH29+AM29+AR29+AW29+BB29+BG29+BL29</f>
        <v>157964.2303206542</v>
      </c>
      <c r="J29" s="5">
        <f t="shared" si="16"/>
        <v>157964.2303206542</v>
      </c>
      <c r="K29" s="5">
        <f>P29+U29+Z29+AE29+AJ29+AO29+AT29+AY29+BD29+BI29+BN29</f>
        <v>60654.286443116325</v>
      </c>
      <c r="N29" s="5">
        <f t="shared" si="18"/>
        <v>57015.530211809841</v>
      </c>
      <c r="O29" s="5">
        <f t="shared" si="3"/>
        <v>57015.530211809841</v>
      </c>
      <c r="P29" s="5">
        <f t="shared" si="19"/>
        <v>21892.527784001075</v>
      </c>
      <c r="R29" s="5">
        <f t="shared" si="43"/>
        <v>0</v>
      </c>
      <c r="S29" s="5">
        <f t="shared" si="44"/>
        <v>37964.003617911818</v>
      </c>
      <c r="T29" s="5">
        <f t="shared" si="1"/>
        <v>37964.003617911818</v>
      </c>
      <c r="U29" s="5">
        <f t="shared" si="20"/>
        <v>14577.221344946769</v>
      </c>
      <c r="W29" s="5">
        <f t="shared" si="21"/>
        <v>0</v>
      </c>
      <c r="X29" s="5">
        <f t="shared" si="22"/>
        <v>12413.856974448927</v>
      </c>
      <c r="Y29" s="5">
        <f t="shared" si="23"/>
        <v>12413.856974448927</v>
      </c>
      <c r="Z29" s="5">
        <f t="shared" si="24"/>
        <v>4766.6084610653288</v>
      </c>
      <c r="AB29" s="66">
        <f t="shared" si="25"/>
        <v>0</v>
      </c>
      <c r="AC29" s="66">
        <f t="shared" si="26"/>
        <v>17535.580240535568</v>
      </c>
      <c r="AD29" s="5">
        <f t="shared" si="27"/>
        <v>17535.580240535568</v>
      </c>
      <c r="AE29" s="5">
        <f t="shared" si="28"/>
        <v>6733.2212153134897</v>
      </c>
      <c r="AG29" s="5">
        <f t="shared" si="45"/>
        <v>0</v>
      </c>
      <c r="AH29" s="5">
        <f t="shared" si="46"/>
        <v>202.27873050235263</v>
      </c>
      <c r="AI29" s="5">
        <f t="shared" si="29"/>
        <v>202.27873050235263</v>
      </c>
      <c r="AJ29" s="5">
        <f t="shared" si="30"/>
        <v>77.669938544532755</v>
      </c>
      <c r="AL29" s="5">
        <f t="shared" si="4"/>
        <v>0</v>
      </c>
      <c r="AM29" s="5">
        <f t="shared" si="5"/>
        <v>5377.0957981351185</v>
      </c>
      <c r="AN29" s="5">
        <f t="shared" si="31"/>
        <v>5377.0957981351185</v>
      </c>
      <c r="AO29" s="5">
        <f t="shared" si="32"/>
        <v>2064.669375529636</v>
      </c>
      <c r="AQ29" s="5">
        <f t="shared" si="6"/>
        <v>0</v>
      </c>
      <c r="AR29" s="5">
        <f t="shared" si="7"/>
        <v>1885.184123876908</v>
      </c>
      <c r="AS29" s="5">
        <f t="shared" si="33"/>
        <v>1885.184123876908</v>
      </c>
      <c r="AT29" s="5">
        <f t="shared" si="34"/>
        <v>723.86322913444076</v>
      </c>
      <c r="AV29" s="5">
        <f t="shared" si="8"/>
        <v>0</v>
      </c>
      <c r="AW29" s="5">
        <f t="shared" si="9"/>
        <v>2234.4695798548792</v>
      </c>
      <c r="AX29" s="5">
        <f t="shared" si="35"/>
        <v>2234.4695798548792</v>
      </c>
      <c r="AY29" s="5">
        <f t="shared" si="36"/>
        <v>857.98004820352514</v>
      </c>
      <c r="BA29" s="5">
        <f t="shared" si="10"/>
        <v>0</v>
      </c>
      <c r="BB29" s="5">
        <f t="shared" si="11"/>
        <v>2571.056601085595</v>
      </c>
      <c r="BC29" s="5">
        <f t="shared" si="37"/>
        <v>2571.056601085595</v>
      </c>
      <c r="BD29" s="5">
        <f t="shared" si="38"/>
        <v>987.22098811328487</v>
      </c>
      <c r="BF29" s="5">
        <f t="shared" si="12"/>
        <v>0</v>
      </c>
      <c r="BG29" s="5">
        <f t="shared" si="13"/>
        <v>17058.00586267309</v>
      </c>
      <c r="BH29" s="5">
        <f t="shared" si="39"/>
        <v>17058.00586267309</v>
      </c>
      <c r="BI29" s="5">
        <f t="shared" si="40"/>
        <v>6549.8446809299558</v>
      </c>
      <c r="BK29" s="5">
        <f t="shared" si="14"/>
        <v>0</v>
      </c>
      <c r="BL29" s="5">
        <f t="shared" si="15"/>
        <v>3707.1685798200929</v>
      </c>
      <c r="BM29" s="5">
        <f t="shared" si="41"/>
        <v>3707.1685798200929</v>
      </c>
      <c r="BN29" s="5">
        <f t="shared" si="42"/>
        <v>1423.4593773342892</v>
      </c>
    </row>
    <row r="30" spans="1:68" x14ac:dyDescent="0.25">
      <c r="A30" s="29">
        <v>12510</v>
      </c>
      <c r="C30" s="3">
        <v>1930000</v>
      </c>
      <c r="D30" s="3">
        <v>293850</v>
      </c>
      <c r="E30" s="3">
        <f t="shared" si="0"/>
        <v>2223850</v>
      </c>
      <c r="F30" s="3">
        <v>112831</v>
      </c>
      <c r="H30" s="5">
        <f t="shared" si="2"/>
        <v>1037505.4092865835</v>
      </c>
      <c r="I30" s="5">
        <f>N30+S30+X30+AC30+AH30+AM30+AR30+AW30+BB30+BG30+BL30</f>
        <v>157964.2303206542</v>
      </c>
      <c r="J30" s="5">
        <f t="shared" si="16"/>
        <v>1195469.6396072377</v>
      </c>
      <c r="K30" s="5">
        <f>P30+U30+Z30+AE30+AJ30+AO30+AT30+AY30+BD30+BI30+BN30</f>
        <v>60654.286443116325</v>
      </c>
      <c r="M30" s="5">
        <f t="shared" si="17"/>
        <v>374476.6830314548</v>
      </c>
      <c r="N30" s="5">
        <f t="shared" si="18"/>
        <v>57015.530211809841</v>
      </c>
      <c r="O30" s="5">
        <f t="shared" si="3"/>
        <v>431492.21324326465</v>
      </c>
      <c r="P30" s="5">
        <f t="shared" si="19"/>
        <v>21892.527784001075</v>
      </c>
      <c r="R30" s="5">
        <f t="shared" si="43"/>
        <v>249346.69723522139</v>
      </c>
      <c r="S30" s="5">
        <f t="shared" si="44"/>
        <v>37964.003617911818</v>
      </c>
      <c r="T30" s="5">
        <f t="shared" si="1"/>
        <v>287310.70085313322</v>
      </c>
      <c r="U30" s="5">
        <f t="shared" si="20"/>
        <v>14577.221344946769</v>
      </c>
      <c r="W30" s="5">
        <f t="shared" si="21"/>
        <v>81533.925338391797</v>
      </c>
      <c r="X30" s="5">
        <f t="shared" si="22"/>
        <v>12413.856974448927</v>
      </c>
      <c r="Y30" s="5">
        <f t="shared" si="23"/>
        <v>93947.782312840718</v>
      </c>
      <c r="Z30" s="5">
        <f t="shared" si="24"/>
        <v>4766.6084610653288</v>
      </c>
      <c r="AB30" s="66">
        <f t="shared" si="25"/>
        <v>115173.28522795184</v>
      </c>
      <c r="AC30" s="66">
        <f t="shared" si="26"/>
        <v>17535.580240535568</v>
      </c>
      <c r="AD30" s="5">
        <f t="shared" si="27"/>
        <v>132708.86546848741</v>
      </c>
      <c r="AE30" s="5">
        <f t="shared" si="28"/>
        <v>6733.2212153134897</v>
      </c>
      <c r="AG30" s="5">
        <f t="shared" si="45"/>
        <v>1328.5620209955439</v>
      </c>
      <c r="AH30" s="5">
        <f t="shared" si="46"/>
        <v>202.27873050235263</v>
      </c>
      <c r="AI30" s="5">
        <f t="shared" si="29"/>
        <v>1530.8407514978965</v>
      </c>
      <c r="AJ30" s="5">
        <f t="shared" si="30"/>
        <v>77.669938544532755</v>
      </c>
      <c r="AL30" s="5">
        <f t="shared" si="4"/>
        <v>35316.640770463768</v>
      </c>
      <c r="AM30" s="5">
        <f t="shared" si="5"/>
        <v>5377.0957981351185</v>
      </c>
      <c r="AN30" s="5">
        <f t="shared" si="31"/>
        <v>40693.736568598884</v>
      </c>
      <c r="AO30" s="5">
        <f t="shared" si="32"/>
        <v>2064.669375529636</v>
      </c>
      <c r="AQ30" s="5">
        <f t="shared" si="6"/>
        <v>12381.845700467697</v>
      </c>
      <c r="AR30" s="5">
        <f t="shared" si="7"/>
        <v>1885.184123876908</v>
      </c>
      <c r="AS30" s="5">
        <f t="shared" si="33"/>
        <v>14267.029824344605</v>
      </c>
      <c r="AT30" s="5">
        <f t="shared" si="34"/>
        <v>723.86322913444076</v>
      </c>
      <c r="AV30" s="5">
        <f t="shared" si="8"/>
        <v>14675.944492495888</v>
      </c>
      <c r="AW30" s="5">
        <f t="shared" si="9"/>
        <v>2234.4695798548792</v>
      </c>
      <c r="AX30" s="5">
        <f t="shared" si="35"/>
        <v>16910.414072350766</v>
      </c>
      <c r="AY30" s="5">
        <f t="shared" si="36"/>
        <v>857.98004820352514</v>
      </c>
      <c r="BA30" s="5">
        <f t="shared" si="10"/>
        <v>16886.640258959327</v>
      </c>
      <c r="BB30" s="5">
        <f t="shared" si="11"/>
        <v>2571.056601085595</v>
      </c>
      <c r="BC30" s="5">
        <f t="shared" si="37"/>
        <v>19457.696860044922</v>
      </c>
      <c r="BD30" s="5">
        <f t="shared" si="38"/>
        <v>987.22098811328487</v>
      </c>
      <c r="BF30" s="5">
        <f t="shared" si="12"/>
        <v>112036.58776572763</v>
      </c>
      <c r="BG30" s="5">
        <f t="shared" si="13"/>
        <v>17058.00586267309</v>
      </c>
      <c r="BH30" s="5">
        <f t="shared" si="39"/>
        <v>129094.59362840072</v>
      </c>
      <c r="BI30" s="5">
        <f t="shared" si="40"/>
        <v>6549.8446809299558</v>
      </c>
      <c r="BK30" s="5">
        <f t="shared" si="14"/>
        <v>24348.597444453902</v>
      </c>
      <c r="BL30" s="5">
        <f t="shared" si="15"/>
        <v>3707.1685798200929</v>
      </c>
      <c r="BM30" s="5">
        <f t="shared" si="41"/>
        <v>28055.766024273995</v>
      </c>
      <c r="BN30" s="5">
        <f t="shared" si="42"/>
        <v>1423.4593773342892</v>
      </c>
    </row>
    <row r="31" spans="1:68" x14ac:dyDescent="0.25">
      <c r="A31" s="29">
        <v>12693</v>
      </c>
      <c r="D31" s="3">
        <v>264900</v>
      </c>
      <c r="E31" s="3">
        <f t="shared" si="0"/>
        <v>264900</v>
      </c>
      <c r="F31" s="3">
        <v>112831</v>
      </c>
      <c r="H31" s="5">
        <f t="shared" si="2"/>
        <v>0</v>
      </c>
      <c r="I31" s="5">
        <f>N31+S31+X31+AC31+AH31+AM31+AR31+AW31+BB31+BG31+BL31</f>
        <v>142401.64918135546</v>
      </c>
      <c r="J31" s="5">
        <f t="shared" si="16"/>
        <v>142401.64918135546</v>
      </c>
      <c r="K31" s="5">
        <f>P31+U31+Z31+AE31+AJ31+AO31+AT31+AY31+BD31+BI31+BN31</f>
        <v>60654.286443116325</v>
      </c>
      <c r="N31" s="5">
        <f t="shared" si="18"/>
        <v>51398.37996633802</v>
      </c>
      <c r="O31" s="5">
        <f t="shared" si="3"/>
        <v>51398.37996633802</v>
      </c>
      <c r="P31" s="5">
        <f t="shared" si="19"/>
        <v>21892.527784001075</v>
      </c>
      <c r="R31" s="5">
        <f t="shared" si="43"/>
        <v>0</v>
      </c>
      <c r="S31" s="5">
        <f t="shared" si="44"/>
        <v>34223.803159383497</v>
      </c>
      <c r="T31" s="5">
        <f t="shared" si="1"/>
        <v>34223.803159383497</v>
      </c>
      <c r="U31" s="5">
        <f t="shared" si="20"/>
        <v>14577.221344946769</v>
      </c>
      <c r="W31" s="5">
        <f t="shared" si="21"/>
        <v>0</v>
      </c>
      <c r="X31" s="5">
        <f t="shared" si="22"/>
        <v>11190.84809437305</v>
      </c>
      <c r="Y31" s="5">
        <f t="shared" si="23"/>
        <v>11190.84809437305</v>
      </c>
      <c r="Z31" s="5">
        <f t="shared" si="24"/>
        <v>4766.6084610653288</v>
      </c>
      <c r="AB31" s="66">
        <f t="shared" si="25"/>
        <v>0</v>
      </c>
      <c r="AC31" s="66">
        <f t="shared" si="26"/>
        <v>15807.980962116291</v>
      </c>
      <c r="AD31" s="5">
        <f t="shared" si="27"/>
        <v>15807.980962116291</v>
      </c>
      <c r="AE31" s="5">
        <f t="shared" si="28"/>
        <v>6733.2212153134897</v>
      </c>
      <c r="AG31" s="5">
        <f t="shared" si="45"/>
        <v>0</v>
      </c>
      <c r="AH31" s="5">
        <f t="shared" si="46"/>
        <v>182.35030018741949</v>
      </c>
      <c r="AI31" s="5">
        <f t="shared" si="29"/>
        <v>182.35030018741949</v>
      </c>
      <c r="AJ31" s="5">
        <f t="shared" si="30"/>
        <v>77.669938544532755</v>
      </c>
      <c r="AL31" s="5">
        <f t="shared" si="4"/>
        <v>0</v>
      </c>
      <c r="AM31" s="5">
        <f t="shared" si="5"/>
        <v>4847.3461865781619</v>
      </c>
      <c r="AN31" s="5">
        <f t="shared" si="31"/>
        <v>4847.3461865781619</v>
      </c>
      <c r="AO31" s="5">
        <f t="shared" si="32"/>
        <v>2064.669375529636</v>
      </c>
      <c r="AQ31" s="5">
        <f t="shared" si="6"/>
        <v>0</v>
      </c>
      <c r="AR31" s="5">
        <f t="shared" si="7"/>
        <v>1699.4564383698926</v>
      </c>
      <c r="AS31" s="5">
        <f t="shared" si="33"/>
        <v>1699.4564383698926</v>
      </c>
      <c r="AT31" s="5">
        <f t="shared" si="34"/>
        <v>723.86322913444076</v>
      </c>
      <c r="AV31" s="5">
        <f t="shared" si="8"/>
        <v>0</v>
      </c>
      <c r="AW31" s="5">
        <f t="shared" si="9"/>
        <v>2014.3304124674407</v>
      </c>
      <c r="AX31" s="5">
        <f t="shared" si="35"/>
        <v>2014.3304124674407</v>
      </c>
      <c r="AY31" s="5">
        <f t="shared" si="36"/>
        <v>857.98004820352514</v>
      </c>
      <c r="BA31" s="5">
        <f t="shared" si="10"/>
        <v>0</v>
      </c>
      <c r="BB31" s="5">
        <f t="shared" si="11"/>
        <v>2317.7569972012047</v>
      </c>
      <c r="BC31" s="5">
        <f t="shared" si="37"/>
        <v>2317.7569972012047</v>
      </c>
      <c r="BD31" s="5">
        <f t="shared" si="38"/>
        <v>987.22098811328487</v>
      </c>
      <c r="BF31" s="5">
        <f t="shared" si="12"/>
        <v>0</v>
      </c>
      <c r="BG31" s="5">
        <f t="shared" si="13"/>
        <v>15377.457046187177</v>
      </c>
      <c r="BH31" s="5">
        <f t="shared" si="39"/>
        <v>15377.457046187177</v>
      </c>
      <c r="BI31" s="5">
        <f t="shared" si="40"/>
        <v>6549.8446809299558</v>
      </c>
      <c r="BK31" s="5">
        <f t="shared" si="14"/>
        <v>0</v>
      </c>
      <c r="BL31" s="5">
        <f t="shared" si="15"/>
        <v>3341.9396181532843</v>
      </c>
      <c r="BM31" s="5">
        <f t="shared" si="41"/>
        <v>3341.9396181532843</v>
      </c>
      <c r="BN31" s="5">
        <f t="shared" si="42"/>
        <v>1423.4593773342892</v>
      </c>
    </row>
    <row r="32" spans="1:68" x14ac:dyDescent="0.25">
      <c r="A32" s="29">
        <v>12875</v>
      </c>
      <c r="C32" s="3">
        <v>1985000</v>
      </c>
      <c r="D32" s="3">
        <v>264900</v>
      </c>
      <c r="E32" s="3">
        <f t="shared" si="0"/>
        <v>2249900</v>
      </c>
      <c r="F32" s="3">
        <v>112831</v>
      </c>
      <c r="H32" s="5">
        <f t="shared" si="2"/>
        <v>1067071.6256134035</v>
      </c>
      <c r="I32" s="5">
        <f>N32+S32+X32+AC32+AH32+AM32+AR32+AW32+BB32+BG32+BL32</f>
        <v>142401.64918135546</v>
      </c>
      <c r="J32" s="5">
        <f t="shared" si="16"/>
        <v>1209473.274794759</v>
      </c>
      <c r="K32" s="5">
        <f>P32+U32+Z32+AE32+AJ32+AO32+AT32+AY32+BD32+BI32+BN32</f>
        <v>60654.286443116325</v>
      </c>
      <c r="M32" s="5">
        <f t="shared" si="17"/>
        <v>385148.29835100402</v>
      </c>
      <c r="N32" s="5">
        <f t="shared" si="18"/>
        <v>51398.37996633802</v>
      </c>
      <c r="O32" s="5">
        <f t="shared" si="3"/>
        <v>436546.67831734207</v>
      </c>
      <c r="P32" s="5">
        <f t="shared" si="19"/>
        <v>21892.527784001075</v>
      </c>
      <c r="R32" s="5">
        <f t="shared" si="43"/>
        <v>256452.43213052562</v>
      </c>
      <c r="S32" s="5">
        <f t="shared" si="44"/>
        <v>34223.803159383497</v>
      </c>
      <c r="T32" s="5">
        <f t="shared" si="1"/>
        <v>290676.23528990912</v>
      </c>
      <c r="U32" s="5">
        <f t="shared" si="20"/>
        <v>14577.221344946769</v>
      </c>
      <c r="W32" s="5">
        <f t="shared" si="21"/>
        <v>83857.430982750113</v>
      </c>
      <c r="X32" s="5">
        <f t="shared" si="22"/>
        <v>11190.84809437305</v>
      </c>
      <c r="Y32" s="5">
        <f t="shared" si="23"/>
        <v>95048.279077123167</v>
      </c>
      <c r="Z32" s="5">
        <f t="shared" si="24"/>
        <v>4766.6084610653288</v>
      </c>
      <c r="AB32" s="66">
        <f t="shared" si="25"/>
        <v>118455.42548056187</v>
      </c>
      <c r="AC32" s="66">
        <f t="shared" si="26"/>
        <v>15807.980962116291</v>
      </c>
      <c r="AD32" s="5">
        <f t="shared" si="27"/>
        <v>134263.40644267816</v>
      </c>
      <c r="AE32" s="5">
        <f t="shared" si="28"/>
        <v>6733.2212153134897</v>
      </c>
      <c r="AG32" s="5">
        <f t="shared" si="45"/>
        <v>1366.4225967233963</v>
      </c>
      <c r="AH32" s="5">
        <f t="shared" si="46"/>
        <v>182.35030018741949</v>
      </c>
      <c r="AI32" s="5">
        <f t="shared" si="29"/>
        <v>1548.7728969108157</v>
      </c>
      <c r="AJ32" s="5">
        <f t="shared" si="30"/>
        <v>77.669938544532755</v>
      </c>
      <c r="AL32" s="5">
        <f t="shared" si="4"/>
        <v>36323.073538533979</v>
      </c>
      <c r="AM32" s="5">
        <f t="shared" si="5"/>
        <v>4847.3461865781619</v>
      </c>
      <c r="AN32" s="5">
        <f t="shared" si="31"/>
        <v>41170.419725112144</v>
      </c>
      <c r="AO32" s="5">
        <f t="shared" si="32"/>
        <v>2064.669375529636</v>
      </c>
      <c r="AQ32" s="5">
        <f t="shared" si="6"/>
        <v>12734.696225610558</v>
      </c>
      <c r="AR32" s="5">
        <f t="shared" si="7"/>
        <v>1699.4564383698926</v>
      </c>
      <c r="AS32" s="5">
        <f t="shared" si="33"/>
        <v>14434.152663980451</v>
      </c>
      <c r="AT32" s="5">
        <f t="shared" si="34"/>
        <v>723.86322913444076</v>
      </c>
      <c r="AV32" s="5">
        <f t="shared" si="8"/>
        <v>15094.170889950434</v>
      </c>
      <c r="AW32" s="5">
        <f t="shared" si="9"/>
        <v>2014.3304124674407</v>
      </c>
      <c r="AX32" s="5">
        <f t="shared" si="35"/>
        <v>17108.501302417873</v>
      </c>
      <c r="AY32" s="5">
        <f t="shared" si="36"/>
        <v>857.98004820352514</v>
      </c>
      <c r="BA32" s="5">
        <f t="shared" si="10"/>
        <v>17367.865758566975</v>
      </c>
      <c r="BB32" s="5">
        <f t="shared" si="11"/>
        <v>2317.7569972012047</v>
      </c>
      <c r="BC32" s="5">
        <f t="shared" si="37"/>
        <v>19685.622755768181</v>
      </c>
      <c r="BD32" s="5">
        <f t="shared" si="38"/>
        <v>987.22098811328487</v>
      </c>
      <c r="BF32" s="5">
        <f t="shared" si="12"/>
        <v>115229.34026682351</v>
      </c>
      <c r="BG32" s="5">
        <f t="shared" si="13"/>
        <v>15377.457046187177</v>
      </c>
      <c r="BH32" s="5">
        <f t="shared" si="39"/>
        <v>130606.79731301068</v>
      </c>
      <c r="BI32" s="5">
        <f t="shared" si="40"/>
        <v>6549.8446809299558</v>
      </c>
      <c r="BK32" s="5">
        <f t="shared" si="14"/>
        <v>25042.46939235285</v>
      </c>
      <c r="BL32" s="5">
        <f t="shared" si="15"/>
        <v>3341.9396181532843</v>
      </c>
      <c r="BM32" s="5">
        <f t="shared" si="41"/>
        <v>28384.409010506133</v>
      </c>
      <c r="BN32" s="5">
        <f t="shared" si="42"/>
        <v>1423.4593773342892</v>
      </c>
    </row>
    <row r="33" spans="1:66" x14ac:dyDescent="0.25">
      <c r="A33" s="29">
        <v>13058</v>
      </c>
      <c r="D33" s="3">
        <v>235125</v>
      </c>
      <c r="E33" s="3">
        <f t="shared" si="0"/>
        <v>235125</v>
      </c>
      <c r="F33" s="3">
        <v>112831</v>
      </c>
      <c r="H33" s="5">
        <f t="shared" si="2"/>
        <v>0</v>
      </c>
      <c r="I33" s="5">
        <f>N33+S33+X33+AC33+AH33+AM33+AR33+AW33+BB33+BG33+BL33</f>
        <v>126395.57479715439</v>
      </c>
      <c r="J33" s="5">
        <f t="shared" si="16"/>
        <v>126395.57479715439</v>
      </c>
      <c r="K33" s="5">
        <f>P33+U33+Z33+AE33+AJ33+AO33+AT33+AY33+BD33+BI33+BN33</f>
        <v>60654.286443116325</v>
      </c>
      <c r="N33" s="5">
        <f t="shared" si="18"/>
        <v>45621.155491072954</v>
      </c>
      <c r="O33" s="5">
        <f t="shared" si="3"/>
        <v>45621.155491072954</v>
      </c>
      <c r="P33" s="5">
        <f t="shared" si="19"/>
        <v>21892.527784001075</v>
      </c>
      <c r="R33" s="5">
        <f t="shared" si="43"/>
        <v>0</v>
      </c>
      <c r="S33" s="5">
        <f t="shared" si="44"/>
        <v>30377.01667742561</v>
      </c>
      <c r="T33" s="5">
        <f t="shared" si="1"/>
        <v>30377.01667742561</v>
      </c>
      <c r="U33" s="5">
        <f t="shared" si="20"/>
        <v>14577.221344946769</v>
      </c>
      <c r="W33" s="5">
        <f t="shared" si="21"/>
        <v>0</v>
      </c>
      <c r="X33" s="5">
        <f t="shared" si="22"/>
        <v>9932.9866296317978</v>
      </c>
      <c r="Y33" s="5">
        <f t="shared" si="23"/>
        <v>9932.9866296317978</v>
      </c>
      <c r="Z33" s="5">
        <f t="shared" si="24"/>
        <v>4766.6084610653288</v>
      </c>
      <c r="AB33" s="66">
        <f t="shared" si="25"/>
        <v>0</v>
      </c>
      <c r="AC33" s="66">
        <f t="shared" si="26"/>
        <v>14031.149579907864</v>
      </c>
      <c r="AD33" s="5">
        <f t="shared" si="27"/>
        <v>14031.149579907864</v>
      </c>
      <c r="AE33" s="5">
        <f t="shared" si="28"/>
        <v>6733.2212153134897</v>
      </c>
      <c r="AG33" s="5">
        <f t="shared" si="45"/>
        <v>0</v>
      </c>
      <c r="AH33" s="5">
        <f t="shared" si="46"/>
        <v>161.85396123656855</v>
      </c>
      <c r="AI33" s="5">
        <f t="shared" si="29"/>
        <v>161.85396123656855</v>
      </c>
      <c r="AJ33" s="5">
        <f t="shared" si="30"/>
        <v>77.669938544532755</v>
      </c>
      <c r="AL33" s="5">
        <f t="shared" si="4"/>
        <v>0</v>
      </c>
      <c r="AM33" s="5">
        <f t="shared" si="5"/>
        <v>4302.5000835001529</v>
      </c>
      <c r="AN33" s="5">
        <f t="shared" si="31"/>
        <v>4302.5000835001529</v>
      </c>
      <c r="AO33" s="5">
        <f t="shared" si="32"/>
        <v>2064.669375529636</v>
      </c>
      <c r="AQ33" s="5">
        <f t="shared" si="6"/>
        <v>0</v>
      </c>
      <c r="AR33" s="5">
        <f t="shared" si="7"/>
        <v>1508.4359949857342</v>
      </c>
      <c r="AS33" s="5">
        <f t="shared" si="33"/>
        <v>1508.4359949857342</v>
      </c>
      <c r="AT33" s="5">
        <f t="shared" si="34"/>
        <v>723.86322913444076</v>
      </c>
      <c r="AV33" s="5">
        <f t="shared" si="8"/>
        <v>0</v>
      </c>
      <c r="AW33" s="5">
        <f t="shared" si="9"/>
        <v>1787.9178491181842</v>
      </c>
      <c r="AX33" s="5">
        <f t="shared" si="35"/>
        <v>1787.9178491181842</v>
      </c>
      <c r="AY33" s="5">
        <f t="shared" si="36"/>
        <v>857.98004820352514</v>
      </c>
      <c r="BA33" s="5">
        <f t="shared" si="10"/>
        <v>0</v>
      </c>
      <c r="BB33" s="5">
        <f t="shared" si="11"/>
        <v>2057.2390108227005</v>
      </c>
      <c r="BC33" s="5">
        <f t="shared" si="37"/>
        <v>2057.2390108227005</v>
      </c>
      <c r="BD33" s="5">
        <f t="shared" si="38"/>
        <v>987.22098811328487</v>
      </c>
      <c r="BF33" s="5">
        <f t="shared" si="12"/>
        <v>0</v>
      </c>
      <c r="BG33" s="5">
        <f t="shared" si="13"/>
        <v>13649.016942184824</v>
      </c>
      <c r="BH33" s="5">
        <f t="shared" si="39"/>
        <v>13649.016942184824</v>
      </c>
      <c r="BI33" s="5">
        <f t="shared" si="40"/>
        <v>6549.8446809299558</v>
      </c>
      <c r="BK33" s="5">
        <f t="shared" si="14"/>
        <v>0</v>
      </c>
      <c r="BL33" s="5">
        <f t="shared" si="15"/>
        <v>2966.3025772679916</v>
      </c>
      <c r="BM33" s="5">
        <f t="shared" si="41"/>
        <v>2966.3025772679916</v>
      </c>
      <c r="BN33" s="5">
        <f t="shared" si="42"/>
        <v>1423.4593773342892</v>
      </c>
    </row>
    <row r="34" spans="1:66" x14ac:dyDescent="0.25">
      <c r="A34" s="29">
        <v>13241</v>
      </c>
      <c r="C34" s="3">
        <v>2045000</v>
      </c>
      <c r="D34" s="3">
        <v>235125</v>
      </c>
      <c r="E34" s="3">
        <f t="shared" si="0"/>
        <v>2280125</v>
      </c>
      <c r="F34" s="3">
        <v>112831</v>
      </c>
      <c r="H34" s="5">
        <f t="shared" si="2"/>
        <v>1099325.6797881157</v>
      </c>
      <c r="I34" s="5">
        <f>N34+S34+X34+AC34+AH34+AM34+AR34+AW34+BB34+BG34+BL34</f>
        <v>126395.57479715439</v>
      </c>
      <c r="J34" s="5">
        <f t="shared" si="16"/>
        <v>1225721.2545852701</v>
      </c>
      <c r="K34" s="5">
        <f>P34+U34+Z34+AE34+AJ34+AO34+AT34+AY34+BD34+BI34+BN34</f>
        <v>60654.286443116325</v>
      </c>
      <c r="M34" s="5">
        <f t="shared" si="17"/>
        <v>396790.06051778502</v>
      </c>
      <c r="N34" s="5">
        <f t="shared" si="18"/>
        <v>45621.155491072954</v>
      </c>
      <c r="O34" s="5">
        <f t="shared" si="3"/>
        <v>442411.216008858</v>
      </c>
      <c r="P34" s="5">
        <f t="shared" si="19"/>
        <v>21892.527784001075</v>
      </c>
      <c r="R34" s="5">
        <f t="shared" si="43"/>
        <v>264204.14292540296</v>
      </c>
      <c r="S34" s="5">
        <f t="shared" si="44"/>
        <v>30377.01667742561</v>
      </c>
      <c r="T34" s="5">
        <f t="shared" si="1"/>
        <v>294581.15960282856</v>
      </c>
      <c r="U34" s="5">
        <f t="shared" si="20"/>
        <v>14577.221344946769</v>
      </c>
      <c r="W34" s="5">
        <f t="shared" si="21"/>
        <v>86392.164412959173</v>
      </c>
      <c r="X34" s="5">
        <f t="shared" si="22"/>
        <v>9932.9866296317978</v>
      </c>
      <c r="Y34" s="5">
        <f t="shared" si="23"/>
        <v>96325.151042590966</v>
      </c>
      <c r="Z34" s="5">
        <f t="shared" si="24"/>
        <v>4766.6084610653288</v>
      </c>
      <c r="AB34" s="66">
        <f t="shared" si="25"/>
        <v>122035.94211977281</v>
      </c>
      <c r="AC34" s="66">
        <f t="shared" si="26"/>
        <v>14031.149579907864</v>
      </c>
      <c r="AD34" s="5">
        <f t="shared" si="27"/>
        <v>136067.09169968066</v>
      </c>
      <c r="AE34" s="5">
        <f t="shared" si="28"/>
        <v>6733.2212153134897</v>
      </c>
      <c r="AG34" s="5">
        <f t="shared" si="45"/>
        <v>1407.7250429719625</v>
      </c>
      <c r="AH34" s="5">
        <f t="shared" si="46"/>
        <v>161.85396123656855</v>
      </c>
      <c r="AI34" s="5">
        <f t="shared" si="29"/>
        <v>1569.5790042085309</v>
      </c>
      <c r="AJ34" s="5">
        <f t="shared" si="30"/>
        <v>77.669938544532755</v>
      </c>
      <c r="AL34" s="5">
        <f t="shared" si="4"/>
        <v>37421.000194610577</v>
      </c>
      <c r="AM34" s="5">
        <f t="shared" si="5"/>
        <v>4302.5000835001529</v>
      </c>
      <c r="AN34" s="5">
        <f t="shared" si="31"/>
        <v>41723.500278110732</v>
      </c>
      <c r="AO34" s="5">
        <f t="shared" si="32"/>
        <v>2064.669375529636</v>
      </c>
      <c r="AQ34" s="5">
        <f t="shared" si="6"/>
        <v>13119.624071220953</v>
      </c>
      <c r="AR34" s="5">
        <f t="shared" si="7"/>
        <v>1508.4359949857342</v>
      </c>
      <c r="AS34" s="5">
        <f t="shared" si="33"/>
        <v>14628.060066206686</v>
      </c>
      <c r="AT34" s="5">
        <f t="shared" si="34"/>
        <v>723.86322913444076</v>
      </c>
      <c r="AV34" s="5">
        <f t="shared" si="8"/>
        <v>15550.417868991757</v>
      </c>
      <c r="AW34" s="5">
        <f t="shared" si="9"/>
        <v>1787.9178491181842</v>
      </c>
      <c r="AX34" s="5">
        <f t="shared" si="35"/>
        <v>17338.335718109942</v>
      </c>
      <c r="AY34" s="5">
        <f t="shared" si="36"/>
        <v>857.98004820352514</v>
      </c>
      <c r="BA34" s="5">
        <f t="shared" si="10"/>
        <v>17892.839030866227</v>
      </c>
      <c r="BB34" s="5">
        <f t="shared" si="11"/>
        <v>2057.2390108227005</v>
      </c>
      <c r="BC34" s="5">
        <f t="shared" si="37"/>
        <v>19950.078041688928</v>
      </c>
      <c r="BD34" s="5">
        <f t="shared" si="38"/>
        <v>987.22098811328487</v>
      </c>
      <c r="BF34" s="5">
        <f t="shared" si="12"/>
        <v>118712.34299529172</v>
      </c>
      <c r="BG34" s="5">
        <f t="shared" si="13"/>
        <v>13649.016942184824</v>
      </c>
      <c r="BH34" s="5">
        <f t="shared" si="39"/>
        <v>132361.35993747655</v>
      </c>
      <c r="BI34" s="5">
        <f t="shared" si="40"/>
        <v>6549.8446809299558</v>
      </c>
      <c r="BK34" s="5">
        <f t="shared" si="14"/>
        <v>25799.420608242606</v>
      </c>
      <c r="BL34" s="5">
        <f t="shared" si="15"/>
        <v>2966.3025772679916</v>
      </c>
      <c r="BM34" s="5">
        <f t="shared" si="41"/>
        <v>28765.723185510597</v>
      </c>
      <c r="BN34" s="5">
        <f t="shared" si="42"/>
        <v>1423.4593773342892</v>
      </c>
    </row>
    <row r="35" spans="1:66" x14ac:dyDescent="0.25">
      <c r="A35" s="29">
        <v>13424</v>
      </c>
      <c r="D35" s="3">
        <v>204450</v>
      </c>
      <c r="E35" s="3">
        <f t="shared" si="0"/>
        <v>204450</v>
      </c>
      <c r="F35" s="3">
        <v>112831</v>
      </c>
      <c r="H35" s="5">
        <f t="shared" si="2"/>
        <v>0</v>
      </c>
      <c r="I35" s="5">
        <f>N35+S35+X35+AC35+AH35+AM35+AR35+AW35+BB35+BG35+BL35</f>
        <v>109905.68960033264</v>
      </c>
      <c r="J35" s="5">
        <f t="shared" si="16"/>
        <v>109905.68960033264</v>
      </c>
      <c r="K35" s="5">
        <f>P35+U35+Z35+AE35+AJ35+AO35+AT35+AY35+BD35+BI35+BN35</f>
        <v>60654.286443116325</v>
      </c>
      <c r="N35" s="5">
        <f t="shared" si="18"/>
        <v>39669.304583306184</v>
      </c>
      <c r="O35" s="5">
        <f t="shared" si="3"/>
        <v>39669.304583306184</v>
      </c>
      <c r="P35" s="5">
        <f t="shared" si="19"/>
        <v>21892.527784001075</v>
      </c>
      <c r="R35" s="5">
        <f t="shared" si="43"/>
        <v>0</v>
      </c>
      <c r="S35" s="5">
        <f t="shared" si="44"/>
        <v>26413.954533544565</v>
      </c>
      <c r="T35" s="5">
        <f t="shared" si="1"/>
        <v>26413.954533544565</v>
      </c>
      <c r="U35" s="5">
        <f t="shared" si="20"/>
        <v>14577.221344946769</v>
      </c>
      <c r="W35" s="5">
        <f t="shared" si="21"/>
        <v>0</v>
      </c>
      <c r="X35" s="5">
        <f t="shared" si="22"/>
        <v>8637.1041634374105</v>
      </c>
      <c r="Y35" s="5">
        <f t="shared" si="23"/>
        <v>8637.1041634374105</v>
      </c>
      <c r="Z35" s="5">
        <f t="shared" si="24"/>
        <v>4766.6084610653288</v>
      </c>
      <c r="AB35" s="66">
        <f t="shared" si="25"/>
        <v>0</v>
      </c>
      <c r="AC35" s="66">
        <f t="shared" si="26"/>
        <v>12200.610448111272</v>
      </c>
      <c r="AD35" s="5">
        <f t="shared" si="27"/>
        <v>12200.610448111272</v>
      </c>
      <c r="AE35" s="5">
        <f t="shared" si="28"/>
        <v>6733.2212153134897</v>
      </c>
      <c r="AG35" s="5">
        <f t="shared" si="45"/>
        <v>0</v>
      </c>
      <c r="AH35" s="5">
        <f t="shared" si="46"/>
        <v>140.73808559198909</v>
      </c>
      <c r="AI35" s="5">
        <f t="shared" si="29"/>
        <v>140.73808559198909</v>
      </c>
      <c r="AJ35" s="5">
        <f t="shared" si="30"/>
        <v>77.669938544532755</v>
      </c>
      <c r="AL35" s="5">
        <f t="shared" si="4"/>
        <v>0</v>
      </c>
      <c r="AM35" s="5">
        <f t="shared" si="5"/>
        <v>3741.1850805809936</v>
      </c>
      <c r="AN35" s="5">
        <f t="shared" si="31"/>
        <v>3741.1850805809936</v>
      </c>
      <c r="AO35" s="5">
        <f t="shared" si="32"/>
        <v>2064.669375529636</v>
      </c>
      <c r="AQ35" s="5">
        <f t="shared" si="6"/>
        <v>0</v>
      </c>
      <c r="AR35" s="5">
        <f t="shared" si="7"/>
        <v>1311.64163391742</v>
      </c>
      <c r="AS35" s="5">
        <f t="shared" si="33"/>
        <v>1311.64163391742</v>
      </c>
      <c r="AT35" s="5">
        <f t="shared" si="34"/>
        <v>723.86322913444076</v>
      </c>
      <c r="AV35" s="5">
        <f t="shared" si="8"/>
        <v>0</v>
      </c>
      <c r="AW35" s="5">
        <f t="shared" si="9"/>
        <v>1554.661581083308</v>
      </c>
      <c r="AX35" s="5">
        <f t="shared" si="35"/>
        <v>1554.661581083308</v>
      </c>
      <c r="AY35" s="5">
        <f t="shared" si="36"/>
        <v>857.98004820352514</v>
      </c>
      <c r="BA35" s="5">
        <f t="shared" si="10"/>
        <v>0</v>
      </c>
      <c r="BB35" s="5">
        <f t="shared" si="11"/>
        <v>1788.8464253597069</v>
      </c>
      <c r="BC35" s="5">
        <f t="shared" si="37"/>
        <v>1788.8464253597069</v>
      </c>
      <c r="BD35" s="5">
        <f t="shared" si="38"/>
        <v>987.22098811328487</v>
      </c>
      <c r="BF35" s="5">
        <f t="shared" si="12"/>
        <v>0</v>
      </c>
      <c r="BG35" s="5">
        <f t="shared" si="13"/>
        <v>11868.331797255449</v>
      </c>
      <c r="BH35" s="5">
        <f t="shared" si="39"/>
        <v>11868.331797255449</v>
      </c>
      <c r="BI35" s="5">
        <f t="shared" si="40"/>
        <v>6549.8446809299558</v>
      </c>
      <c r="BK35" s="5">
        <f t="shared" si="14"/>
        <v>0</v>
      </c>
      <c r="BL35" s="5">
        <f t="shared" si="15"/>
        <v>2579.3112681443527</v>
      </c>
      <c r="BM35" s="5">
        <f t="shared" si="41"/>
        <v>2579.3112681443527</v>
      </c>
      <c r="BN35" s="5">
        <f t="shared" si="42"/>
        <v>1423.4593773342892</v>
      </c>
    </row>
    <row r="36" spans="1:66" x14ac:dyDescent="0.25">
      <c r="A36" s="29">
        <v>13606</v>
      </c>
      <c r="C36" s="3">
        <v>2105000</v>
      </c>
      <c r="D36" s="3">
        <v>204450</v>
      </c>
      <c r="E36" s="3">
        <f t="shared" si="0"/>
        <v>2309450</v>
      </c>
      <c r="F36" s="3">
        <v>112831</v>
      </c>
      <c r="H36" s="5">
        <f t="shared" si="2"/>
        <v>1131579.7339628281</v>
      </c>
      <c r="I36" s="5">
        <f>N36+S36+X36+AC36+AH36+AM36+AR36+AW36+BB36+BG36+BL36</f>
        <v>109905.68960033264</v>
      </c>
      <c r="J36" s="5">
        <f t="shared" si="16"/>
        <v>1241485.4235631607</v>
      </c>
      <c r="K36" s="5">
        <f>P36+U36+Z36+AE36+AJ36+AO36+AT36+AY36+BD36+BI36+BN36</f>
        <v>60654.286443116325</v>
      </c>
      <c r="M36" s="5">
        <f t="shared" si="17"/>
        <v>408431.82268456597</v>
      </c>
      <c r="N36" s="5">
        <f t="shared" si="18"/>
        <v>39669.304583306184</v>
      </c>
      <c r="O36" s="5">
        <f t="shared" si="3"/>
        <v>448101.12726787216</v>
      </c>
      <c r="P36" s="5">
        <f t="shared" si="19"/>
        <v>21892.527784001075</v>
      </c>
      <c r="R36" s="5">
        <f t="shared" si="43"/>
        <v>271955.85372028034</v>
      </c>
      <c r="S36" s="5">
        <f t="shared" si="44"/>
        <v>26413.954533544565</v>
      </c>
      <c r="T36" s="5">
        <f t="shared" si="1"/>
        <v>298369.80825382489</v>
      </c>
      <c r="U36" s="5">
        <f t="shared" si="20"/>
        <v>14577.221344946769</v>
      </c>
      <c r="W36" s="5">
        <f t="shared" si="21"/>
        <v>88926.897843168248</v>
      </c>
      <c r="X36" s="5">
        <f t="shared" si="22"/>
        <v>8637.1041634374105</v>
      </c>
      <c r="Y36" s="5">
        <f t="shared" si="23"/>
        <v>97564.00200660566</v>
      </c>
      <c r="Z36" s="5">
        <f t="shared" si="24"/>
        <v>4766.6084610653288</v>
      </c>
      <c r="AB36" s="66">
        <f t="shared" si="25"/>
        <v>125616.45875898375</v>
      </c>
      <c r="AC36" s="66">
        <f t="shared" si="26"/>
        <v>12200.610448111272</v>
      </c>
      <c r="AD36" s="5">
        <f t="shared" si="27"/>
        <v>137817.06920709502</v>
      </c>
      <c r="AE36" s="5">
        <f t="shared" si="28"/>
        <v>6733.2212153134897</v>
      </c>
      <c r="AG36" s="5">
        <f t="shared" si="45"/>
        <v>1449.0274892205287</v>
      </c>
      <c r="AH36" s="5">
        <f t="shared" si="46"/>
        <v>140.73808559198909</v>
      </c>
      <c r="AI36" s="5">
        <f t="shared" si="29"/>
        <v>1589.7655748125178</v>
      </c>
      <c r="AJ36" s="5">
        <f t="shared" si="30"/>
        <v>77.669938544532755</v>
      </c>
      <c r="AL36" s="5">
        <f t="shared" si="4"/>
        <v>38518.926850687167</v>
      </c>
      <c r="AM36" s="5">
        <f t="shared" si="5"/>
        <v>3741.1850805809936</v>
      </c>
      <c r="AN36" s="5">
        <f t="shared" si="31"/>
        <v>42260.111931268162</v>
      </c>
      <c r="AO36" s="5">
        <f t="shared" si="32"/>
        <v>2064.669375529636</v>
      </c>
      <c r="AQ36" s="5">
        <f t="shared" si="6"/>
        <v>13504.551916831348</v>
      </c>
      <c r="AR36" s="5">
        <f t="shared" si="7"/>
        <v>1311.64163391742</v>
      </c>
      <c r="AS36" s="5">
        <f t="shared" si="33"/>
        <v>14816.193550748767</v>
      </c>
      <c r="AT36" s="5">
        <f t="shared" si="34"/>
        <v>723.86322913444076</v>
      </c>
      <c r="AV36" s="5">
        <f t="shared" si="8"/>
        <v>16006.66484803308</v>
      </c>
      <c r="AW36" s="5">
        <f t="shared" si="9"/>
        <v>1554.661581083308</v>
      </c>
      <c r="AX36" s="5">
        <f t="shared" si="35"/>
        <v>17561.326429116387</v>
      </c>
      <c r="AY36" s="5">
        <f t="shared" si="36"/>
        <v>857.98004820352514</v>
      </c>
      <c r="BA36" s="5">
        <f t="shared" si="10"/>
        <v>18417.812303165483</v>
      </c>
      <c r="BB36" s="5">
        <f t="shared" si="11"/>
        <v>1788.8464253597069</v>
      </c>
      <c r="BC36" s="5">
        <f t="shared" si="37"/>
        <v>20206.658728525192</v>
      </c>
      <c r="BD36" s="5">
        <f t="shared" si="38"/>
        <v>987.22098811328487</v>
      </c>
      <c r="BF36" s="5">
        <f t="shared" si="12"/>
        <v>122195.34572375994</v>
      </c>
      <c r="BG36" s="5">
        <f t="shared" si="13"/>
        <v>11868.331797255449</v>
      </c>
      <c r="BH36" s="5">
        <f t="shared" si="39"/>
        <v>134063.67752101537</v>
      </c>
      <c r="BI36" s="5">
        <f t="shared" si="40"/>
        <v>6549.8446809299558</v>
      </c>
      <c r="BK36" s="5">
        <f t="shared" si="14"/>
        <v>26556.371824132366</v>
      </c>
      <c r="BL36" s="5">
        <f t="shared" si="15"/>
        <v>2579.3112681443527</v>
      </c>
      <c r="BM36" s="5">
        <f t="shared" si="41"/>
        <v>29135.683092276719</v>
      </c>
      <c r="BN36" s="5">
        <f t="shared" si="42"/>
        <v>1423.4593773342892</v>
      </c>
    </row>
    <row r="37" spans="1:66" x14ac:dyDescent="0.25">
      <c r="A37" s="29">
        <v>13789</v>
      </c>
      <c r="D37" s="3">
        <v>172875</v>
      </c>
      <c r="E37" s="3">
        <f t="shared" si="0"/>
        <v>172875</v>
      </c>
      <c r="F37" s="3">
        <v>112831</v>
      </c>
      <c r="H37" s="5">
        <f t="shared" si="2"/>
        <v>0</v>
      </c>
      <c r="I37" s="5">
        <f>N37+S37+X37+AC37+AH37+AM37+AR37+AW37+BB37+BG37+BL37</f>
        <v>92931.993590890226</v>
      </c>
      <c r="J37" s="5">
        <f t="shared" si="16"/>
        <v>92931.993590890226</v>
      </c>
      <c r="K37" s="5">
        <f>P37+U37+Z37+AE37+AJ37+AO37+AT37+AY37+BD37+BI37+BN37</f>
        <v>60654.286443116325</v>
      </c>
      <c r="N37" s="5">
        <f t="shared" si="18"/>
        <v>33542.827243037689</v>
      </c>
      <c r="O37" s="5">
        <f t="shared" si="3"/>
        <v>33542.827243037689</v>
      </c>
      <c r="P37" s="5">
        <f t="shared" si="19"/>
        <v>21892.527784001075</v>
      </c>
      <c r="R37" s="5">
        <f t="shared" si="43"/>
        <v>0</v>
      </c>
      <c r="S37" s="5">
        <f t="shared" si="44"/>
        <v>22334.616727740362</v>
      </c>
      <c r="T37" s="5">
        <f t="shared" si="1"/>
        <v>22334.616727740362</v>
      </c>
      <c r="U37" s="5">
        <f t="shared" si="20"/>
        <v>14577.221344946769</v>
      </c>
      <c r="W37" s="5">
        <f t="shared" si="21"/>
        <v>0</v>
      </c>
      <c r="X37" s="5">
        <f t="shared" si="22"/>
        <v>7303.2006957898866</v>
      </c>
      <c r="Y37" s="5">
        <f t="shared" si="23"/>
        <v>7303.2006957898866</v>
      </c>
      <c r="Z37" s="5">
        <f t="shared" si="24"/>
        <v>4766.6084610653288</v>
      </c>
      <c r="AB37" s="66">
        <f t="shared" si="25"/>
        <v>0</v>
      </c>
      <c r="AC37" s="66">
        <f t="shared" si="26"/>
        <v>10316.363566726515</v>
      </c>
      <c r="AD37" s="5">
        <f t="shared" si="27"/>
        <v>10316.363566726515</v>
      </c>
      <c r="AE37" s="5">
        <f t="shared" si="28"/>
        <v>6733.2212153134897</v>
      </c>
      <c r="AG37" s="5">
        <f t="shared" si="45"/>
        <v>0</v>
      </c>
      <c r="AH37" s="5">
        <f t="shared" si="46"/>
        <v>119.00267325368118</v>
      </c>
      <c r="AI37" s="5">
        <f t="shared" si="29"/>
        <v>119.00267325368118</v>
      </c>
      <c r="AJ37" s="5">
        <f t="shared" si="30"/>
        <v>77.669938544532755</v>
      </c>
      <c r="AL37" s="5">
        <f t="shared" si="4"/>
        <v>0</v>
      </c>
      <c r="AM37" s="5">
        <f t="shared" si="5"/>
        <v>3163.4011778206864</v>
      </c>
      <c r="AN37" s="5">
        <f t="shared" si="31"/>
        <v>3163.4011778206864</v>
      </c>
      <c r="AO37" s="5">
        <f t="shared" si="32"/>
        <v>2064.669375529636</v>
      </c>
      <c r="AQ37" s="5">
        <f t="shared" si="6"/>
        <v>0</v>
      </c>
      <c r="AR37" s="5">
        <f t="shared" si="7"/>
        <v>1109.0733551649498</v>
      </c>
      <c r="AS37" s="5">
        <f t="shared" si="33"/>
        <v>1109.0733551649498</v>
      </c>
      <c r="AT37" s="5">
        <f t="shared" si="34"/>
        <v>723.86322913444076</v>
      </c>
      <c r="AV37" s="5">
        <f t="shared" si="8"/>
        <v>0</v>
      </c>
      <c r="AW37" s="5">
        <f t="shared" si="9"/>
        <v>1314.5616083628117</v>
      </c>
      <c r="AX37" s="5">
        <f t="shared" si="35"/>
        <v>1314.5616083628117</v>
      </c>
      <c r="AY37" s="5">
        <f t="shared" si="36"/>
        <v>857.98004820352514</v>
      </c>
      <c r="BA37" s="5">
        <f t="shared" si="10"/>
        <v>0</v>
      </c>
      <c r="BB37" s="5">
        <f t="shared" si="11"/>
        <v>1512.5792408122247</v>
      </c>
      <c r="BC37" s="5">
        <f t="shared" si="37"/>
        <v>1512.5792408122247</v>
      </c>
      <c r="BD37" s="5">
        <f t="shared" si="38"/>
        <v>987.22098811328487</v>
      </c>
      <c r="BF37" s="5">
        <f t="shared" si="12"/>
        <v>0</v>
      </c>
      <c r="BG37" s="5">
        <f t="shared" si="13"/>
        <v>10035.401611399049</v>
      </c>
      <c r="BH37" s="5">
        <f t="shared" si="39"/>
        <v>10035.401611399049</v>
      </c>
      <c r="BI37" s="5">
        <f t="shared" si="40"/>
        <v>6549.8446809299558</v>
      </c>
      <c r="BK37" s="5">
        <f t="shared" si="14"/>
        <v>0</v>
      </c>
      <c r="BL37" s="5">
        <f t="shared" si="15"/>
        <v>2180.9656907823669</v>
      </c>
      <c r="BM37" s="5">
        <f t="shared" si="41"/>
        <v>2180.9656907823669</v>
      </c>
      <c r="BN37" s="5">
        <f t="shared" si="42"/>
        <v>1423.4593773342892</v>
      </c>
    </row>
    <row r="38" spans="1:66" x14ac:dyDescent="0.25">
      <c r="A38" s="29">
        <v>13971</v>
      </c>
      <c r="C38" s="3">
        <v>2170000</v>
      </c>
      <c r="D38" s="3">
        <v>172875</v>
      </c>
      <c r="E38" s="3">
        <f t="shared" si="0"/>
        <v>2342875</v>
      </c>
      <c r="F38" s="3">
        <v>112831</v>
      </c>
      <c r="H38" s="5">
        <f t="shared" si="2"/>
        <v>1166521.6259854333</v>
      </c>
      <c r="I38" s="5">
        <f>N38+S38+X38+AC38+AH38+AM38+AR38+AW38+BB38+BG38+BL38</f>
        <v>92931.993590890226</v>
      </c>
      <c r="J38" s="5">
        <f t="shared" si="16"/>
        <v>1259453.6195763235</v>
      </c>
      <c r="K38" s="5">
        <f>P38+U38+Z38+AE38+AJ38+AO38+AT38+AY38+BD38+BI38+BN38</f>
        <v>60654.286443116325</v>
      </c>
      <c r="M38" s="5">
        <f t="shared" si="17"/>
        <v>421043.73169857869</v>
      </c>
      <c r="N38" s="5">
        <f t="shared" si="18"/>
        <v>33542.827243037689</v>
      </c>
      <c r="O38" s="5">
        <f t="shared" si="3"/>
        <v>454586.55894161639</v>
      </c>
      <c r="P38" s="5">
        <f t="shared" si="19"/>
        <v>21892.527784001075</v>
      </c>
      <c r="R38" s="5">
        <f t="shared" si="43"/>
        <v>280353.54041473079</v>
      </c>
      <c r="S38" s="5">
        <f t="shared" si="44"/>
        <v>22334.616727740362</v>
      </c>
      <c r="T38" s="5">
        <f t="shared" si="1"/>
        <v>302688.15714247117</v>
      </c>
      <c r="U38" s="5">
        <f t="shared" si="20"/>
        <v>14577.221344946769</v>
      </c>
      <c r="W38" s="5">
        <f t="shared" si="21"/>
        <v>91672.859059228082</v>
      </c>
      <c r="X38" s="5">
        <f t="shared" si="22"/>
        <v>7303.2006957898866</v>
      </c>
      <c r="Y38" s="5">
        <f t="shared" si="23"/>
        <v>98976.059755017966</v>
      </c>
      <c r="Z38" s="5">
        <f t="shared" si="24"/>
        <v>4766.6084610653288</v>
      </c>
      <c r="AB38" s="66">
        <f t="shared" si="25"/>
        <v>129495.3517847956</v>
      </c>
      <c r="AC38" s="66">
        <f t="shared" si="26"/>
        <v>10316.363566726515</v>
      </c>
      <c r="AD38" s="5">
        <f t="shared" si="27"/>
        <v>139811.71535152211</v>
      </c>
      <c r="AE38" s="5">
        <f t="shared" si="28"/>
        <v>6733.2212153134897</v>
      </c>
      <c r="AG38" s="5">
        <f t="shared" si="45"/>
        <v>1493.7718059898086</v>
      </c>
      <c r="AH38" s="5">
        <f t="shared" si="46"/>
        <v>119.00267325368118</v>
      </c>
      <c r="AI38" s="5">
        <f t="shared" si="29"/>
        <v>1612.7744792434898</v>
      </c>
      <c r="AJ38" s="5">
        <f t="shared" si="30"/>
        <v>77.669938544532755</v>
      </c>
      <c r="AL38" s="5">
        <f t="shared" si="4"/>
        <v>39708.34739477015</v>
      </c>
      <c r="AM38" s="5">
        <f t="shared" si="5"/>
        <v>3163.4011778206864</v>
      </c>
      <c r="AN38" s="5">
        <f t="shared" si="31"/>
        <v>42871.748572590834</v>
      </c>
      <c r="AO38" s="5">
        <f t="shared" si="32"/>
        <v>2064.669375529636</v>
      </c>
      <c r="AQ38" s="5">
        <f t="shared" si="6"/>
        <v>13921.557082909276</v>
      </c>
      <c r="AR38" s="5">
        <f t="shared" si="7"/>
        <v>1109.0733551649498</v>
      </c>
      <c r="AS38" s="5">
        <f t="shared" si="33"/>
        <v>15030.630438074226</v>
      </c>
      <c r="AT38" s="5">
        <f t="shared" si="34"/>
        <v>723.86322913444076</v>
      </c>
      <c r="AV38" s="5">
        <f t="shared" si="8"/>
        <v>16500.932408661181</v>
      </c>
      <c r="AW38" s="5">
        <f t="shared" si="9"/>
        <v>1314.5616083628117</v>
      </c>
      <c r="AX38" s="5">
        <f t="shared" si="35"/>
        <v>17815.494017023993</v>
      </c>
      <c r="AY38" s="5">
        <f t="shared" si="36"/>
        <v>857.98004820352514</v>
      </c>
      <c r="BA38" s="5">
        <f t="shared" si="10"/>
        <v>18986.533348156339</v>
      </c>
      <c r="BB38" s="5">
        <f t="shared" si="11"/>
        <v>1512.5792408122247</v>
      </c>
      <c r="BC38" s="5">
        <f t="shared" si="37"/>
        <v>20499.112588968565</v>
      </c>
      <c r="BD38" s="5">
        <f t="shared" si="38"/>
        <v>987.22098811328487</v>
      </c>
      <c r="BF38" s="5">
        <f t="shared" si="12"/>
        <v>125968.5986796005</v>
      </c>
      <c r="BG38" s="5">
        <f t="shared" si="13"/>
        <v>10035.401611399049</v>
      </c>
      <c r="BH38" s="5">
        <f t="shared" si="39"/>
        <v>136004.00029099954</v>
      </c>
      <c r="BI38" s="5">
        <f t="shared" si="40"/>
        <v>6549.8446809299558</v>
      </c>
      <c r="BK38" s="5">
        <f t="shared" si="14"/>
        <v>27376.402308012937</v>
      </c>
      <c r="BL38" s="5">
        <f t="shared" si="15"/>
        <v>2180.9656907823669</v>
      </c>
      <c r="BM38" s="5">
        <f t="shared" si="41"/>
        <v>29557.367998795304</v>
      </c>
      <c r="BN38" s="5">
        <f t="shared" si="42"/>
        <v>1423.4593773342892</v>
      </c>
    </row>
    <row r="39" spans="1:66" x14ac:dyDescent="0.25">
      <c r="A39" s="29">
        <v>14154</v>
      </c>
      <c r="D39" s="3">
        <v>140325</v>
      </c>
      <c r="E39" s="3">
        <f t="shared" si="0"/>
        <v>140325</v>
      </c>
      <c r="F39" s="3">
        <v>112831</v>
      </c>
      <c r="H39" s="5">
        <f t="shared" si="2"/>
        <v>0</v>
      </c>
      <c r="I39" s="5">
        <f>N39+S39+X39+AC39+AH39+AM39+AR39+AW39+BB39+BG39+BL39</f>
        <v>75434.169201108729</v>
      </c>
      <c r="J39" s="5">
        <f t="shared" si="16"/>
        <v>75434.169201108729</v>
      </c>
      <c r="K39" s="5">
        <f>P39+U39+Z39+AE39+AJ39+AO39+AT39+AY39+BD39+BI39+BN39</f>
        <v>60654.286443116325</v>
      </c>
      <c r="N39" s="5">
        <f t="shared" si="18"/>
        <v>27227.171267559013</v>
      </c>
      <c r="O39" s="5">
        <f t="shared" si="3"/>
        <v>27227.171267559013</v>
      </c>
      <c r="P39" s="5">
        <f t="shared" si="19"/>
        <v>21892.527784001075</v>
      </c>
      <c r="R39" s="5">
        <f t="shared" si="43"/>
        <v>0</v>
      </c>
      <c r="S39" s="5">
        <f t="shared" si="44"/>
        <v>18129.313621519399</v>
      </c>
      <c r="T39" s="5">
        <f t="shared" si="1"/>
        <v>18129.313621519399</v>
      </c>
      <c r="U39" s="5">
        <f t="shared" si="20"/>
        <v>14577.221344946769</v>
      </c>
      <c r="W39" s="5">
        <f t="shared" si="21"/>
        <v>0</v>
      </c>
      <c r="X39" s="5">
        <f t="shared" si="22"/>
        <v>5928.1078099014658</v>
      </c>
      <c r="Y39" s="5">
        <f t="shared" si="23"/>
        <v>5928.1078099014658</v>
      </c>
      <c r="Z39" s="5">
        <f t="shared" si="24"/>
        <v>4766.6084610653288</v>
      </c>
      <c r="AB39" s="66">
        <f t="shared" si="25"/>
        <v>0</v>
      </c>
      <c r="AC39" s="66">
        <f t="shared" si="26"/>
        <v>8373.9332899545825</v>
      </c>
      <c r="AD39" s="5">
        <f t="shared" si="27"/>
        <v>8373.9332899545825</v>
      </c>
      <c r="AE39" s="5">
        <f t="shared" si="28"/>
        <v>6733.2212153134897</v>
      </c>
      <c r="AG39" s="5">
        <f t="shared" si="45"/>
        <v>0</v>
      </c>
      <c r="AH39" s="5">
        <f t="shared" si="46"/>
        <v>96.596096163834048</v>
      </c>
      <c r="AI39" s="5">
        <f t="shared" si="29"/>
        <v>96.596096163834048</v>
      </c>
      <c r="AJ39" s="5">
        <f t="shared" si="30"/>
        <v>77.669938544532755</v>
      </c>
      <c r="AL39" s="5">
        <f t="shared" si="4"/>
        <v>0</v>
      </c>
      <c r="AM39" s="5">
        <f t="shared" si="5"/>
        <v>2567.7759668991339</v>
      </c>
      <c r="AN39" s="5">
        <f t="shared" si="31"/>
        <v>2567.7759668991339</v>
      </c>
      <c r="AO39" s="5">
        <f t="shared" si="32"/>
        <v>2064.669375529636</v>
      </c>
      <c r="AQ39" s="5">
        <f t="shared" si="6"/>
        <v>0</v>
      </c>
      <c r="AR39" s="5">
        <f t="shared" si="7"/>
        <v>900.24999892131063</v>
      </c>
      <c r="AS39" s="5">
        <f t="shared" si="33"/>
        <v>900.24999892131063</v>
      </c>
      <c r="AT39" s="5">
        <f t="shared" si="34"/>
        <v>723.86322913444076</v>
      </c>
      <c r="AV39" s="5">
        <f t="shared" si="8"/>
        <v>0</v>
      </c>
      <c r="AW39" s="5">
        <f t="shared" si="9"/>
        <v>1067.0476222328941</v>
      </c>
      <c r="AX39" s="5">
        <f t="shared" si="35"/>
        <v>1067.0476222328941</v>
      </c>
      <c r="AY39" s="5">
        <f t="shared" si="36"/>
        <v>857.98004820352514</v>
      </c>
      <c r="BA39" s="5">
        <f t="shared" si="10"/>
        <v>0</v>
      </c>
      <c r="BB39" s="5">
        <f t="shared" si="11"/>
        <v>1227.7812405898794</v>
      </c>
      <c r="BC39" s="5">
        <f t="shared" si="37"/>
        <v>1227.7812405898794</v>
      </c>
      <c r="BD39" s="5">
        <f t="shared" si="38"/>
        <v>987.22098811328487</v>
      </c>
      <c r="BF39" s="5">
        <f t="shared" si="12"/>
        <v>0</v>
      </c>
      <c r="BG39" s="5">
        <f t="shared" si="13"/>
        <v>8145.8726312050412</v>
      </c>
      <c r="BH39" s="5">
        <f t="shared" si="39"/>
        <v>8145.8726312050412</v>
      </c>
      <c r="BI39" s="5">
        <f t="shared" si="40"/>
        <v>6549.8446809299558</v>
      </c>
      <c r="BK39" s="5">
        <f t="shared" si="14"/>
        <v>0</v>
      </c>
      <c r="BL39" s="5">
        <f t="shared" si="15"/>
        <v>1770.319656162173</v>
      </c>
      <c r="BM39" s="5">
        <f t="shared" si="41"/>
        <v>1770.319656162173</v>
      </c>
      <c r="BN39" s="5">
        <f t="shared" si="42"/>
        <v>1423.4593773342892</v>
      </c>
    </row>
    <row r="40" spans="1:66" x14ac:dyDescent="0.25">
      <c r="A40" s="29">
        <v>14336</v>
      </c>
      <c r="C40" s="3">
        <v>2235000</v>
      </c>
      <c r="D40" s="3">
        <v>140325</v>
      </c>
      <c r="E40" s="3">
        <f t="shared" si="0"/>
        <v>2375325</v>
      </c>
      <c r="F40" s="3">
        <v>112831</v>
      </c>
      <c r="H40" s="5">
        <f t="shared" si="2"/>
        <v>1201463.5180080384</v>
      </c>
      <c r="I40" s="5">
        <f>N40+S40+X40+AC40+AH40+AM40+AR40+AW40+BB40+BG40+BL40</f>
        <v>75434.169201108729</v>
      </c>
      <c r="J40" s="5">
        <f t="shared" si="16"/>
        <v>1276897.687209147</v>
      </c>
      <c r="K40" s="5">
        <f>P40+U40+Z40+AE40+AJ40+AO40+AT40+AY40+BD40+BI40+BN40</f>
        <v>60654.286443116325</v>
      </c>
      <c r="M40" s="5">
        <f t="shared" si="17"/>
        <v>433655.64071259141</v>
      </c>
      <c r="N40" s="5">
        <f t="shared" si="18"/>
        <v>27227.171267559013</v>
      </c>
      <c r="O40" s="5">
        <f t="shared" si="3"/>
        <v>460882.81198015041</v>
      </c>
      <c r="P40" s="5">
        <f t="shared" si="19"/>
        <v>21892.527784001075</v>
      </c>
      <c r="R40" s="5">
        <f t="shared" si="43"/>
        <v>288751.22710918123</v>
      </c>
      <c r="S40" s="5">
        <f t="shared" si="44"/>
        <v>18129.313621519399</v>
      </c>
      <c r="T40" s="5">
        <f t="shared" si="1"/>
        <v>306880.54073070065</v>
      </c>
      <c r="U40" s="5">
        <f t="shared" si="20"/>
        <v>14577.221344946769</v>
      </c>
      <c r="W40" s="5">
        <f t="shared" si="21"/>
        <v>94418.820275287901</v>
      </c>
      <c r="X40" s="5">
        <f t="shared" si="22"/>
        <v>5928.1078099014658</v>
      </c>
      <c r="Y40" s="5">
        <f t="shared" si="23"/>
        <v>100346.92808518937</v>
      </c>
      <c r="Z40" s="5">
        <f t="shared" si="24"/>
        <v>4766.6084610653288</v>
      </c>
      <c r="AB40" s="66">
        <f t="shared" si="25"/>
        <v>133374.24481060746</v>
      </c>
      <c r="AC40" s="66">
        <f t="shared" si="26"/>
        <v>8373.9332899545825</v>
      </c>
      <c r="AD40" s="5">
        <f t="shared" si="27"/>
        <v>141748.17810056204</v>
      </c>
      <c r="AE40" s="5">
        <f t="shared" si="28"/>
        <v>6733.2212153134897</v>
      </c>
      <c r="AG40" s="5">
        <f t="shared" si="45"/>
        <v>1538.5161227590886</v>
      </c>
      <c r="AH40" s="5">
        <f t="shared" si="46"/>
        <v>96.596096163834048</v>
      </c>
      <c r="AI40" s="5">
        <f t="shared" si="29"/>
        <v>1635.1122189229227</v>
      </c>
      <c r="AJ40" s="5">
        <f t="shared" si="30"/>
        <v>77.669938544532755</v>
      </c>
      <c r="AL40" s="5">
        <f t="shared" si="4"/>
        <v>40897.767938853125</v>
      </c>
      <c r="AM40" s="5">
        <f t="shared" si="5"/>
        <v>2567.7759668991339</v>
      </c>
      <c r="AN40" s="5">
        <f t="shared" si="31"/>
        <v>43465.54390575226</v>
      </c>
      <c r="AO40" s="5">
        <f t="shared" si="32"/>
        <v>2064.669375529636</v>
      </c>
      <c r="AQ40" s="5">
        <f t="shared" si="6"/>
        <v>14338.562248987202</v>
      </c>
      <c r="AR40" s="5">
        <f t="shared" si="7"/>
        <v>900.24999892131063</v>
      </c>
      <c r="AS40" s="5">
        <f t="shared" si="33"/>
        <v>15238.812247908512</v>
      </c>
      <c r="AT40" s="5">
        <f t="shared" si="34"/>
        <v>723.86322913444076</v>
      </c>
      <c r="AV40" s="5">
        <f t="shared" si="8"/>
        <v>16995.199969289279</v>
      </c>
      <c r="AW40" s="5">
        <f t="shared" si="9"/>
        <v>1067.0476222328941</v>
      </c>
      <c r="AX40" s="5">
        <f t="shared" si="35"/>
        <v>18062.247591522173</v>
      </c>
      <c r="AY40" s="5">
        <f t="shared" si="36"/>
        <v>857.98004820352514</v>
      </c>
      <c r="BA40" s="5">
        <f t="shared" si="10"/>
        <v>19555.254393147199</v>
      </c>
      <c r="BB40" s="5">
        <f t="shared" si="11"/>
        <v>1227.7812405898794</v>
      </c>
      <c r="BC40" s="5">
        <f t="shared" si="37"/>
        <v>20783.035633737079</v>
      </c>
      <c r="BD40" s="5">
        <f t="shared" si="38"/>
        <v>987.22098811328487</v>
      </c>
      <c r="BF40" s="5">
        <f t="shared" si="12"/>
        <v>129741.85163544107</v>
      </c>
      <c r="BG40" s="5">
        <f t="shared" si="13"/>
        <v>8145.8726312050412</v>
      </c>
      <c r="BH40" s="5">
        <f t="shared" si="39"/>
        <v>137887.72426664611</v>
      </c>
      <c r="BI40" s="5">
        <f t="shared" si="40"/>
        <v>6549.8446809299558</v>
      </c>
      <c r="BK40" s="5">
        <f t="shared" si="14"/>
        <v>28196.432791893509</v>
      </c>
      <c r="BL40" s="5">
        <f t="shared" si="15"/>
        <v>1770.319656162173</v>
      </c>
      <c r="BM40" s="5">
        <f t="shared" si="41"/>
        <v>29966.752448055682</v>
      </c>
      <c r="BN40" s="5">
        <f t="shared" si="42"/>
        <v>1423.4593773342892</v>
      </c>
    </row>
    <row r="41" spans="1:66" x14ac:dyDescent="0.25">
      <c r="A41" s="29">
        <v>14519</v>
      </c>
      <c r="D41" s="3">
        <v>106800</v>
      </c>
      <c r="E41" s="3">
        <f t="shared" si="0"/>
        <v>106800</v>
      </c>
      <c r="F41" s="3">
        <v>112831</v>
      </c>
      <c r="H41" s="5">
        <f t="shared" si="2"/>
        <v>0</v>
      </c>
      <c r="I41" s="5">
        <f>N41+S41+X41+AC41+AH41+AM41+AR41+AW41+BB41+BG41+BL41</f>
        <v>57412.216430988155</v>
      </c>
      <c r="J41" s="5">
        <f t="shared" si="16"/>
        <v>57412.216430988155</v>
      </c>
      <c r="K41" s="5">
        <f>P41+U41+Z41+AE41+AJ41+AO41+AT41+AY41+BD41+BI41+BN41</f>
        <v>60654.286443116325</v>
      </c>
      <c r="N41" s="5">
        <f t="shared" si="18"/>
        <v>20722.336656870142</v>
      </c>
      <c r="O41" s="5">
        <f t="shared" si="3"/>
        <v>20722.336656870142</v>
      </c>
      <c r="P41" s="5">
        <f t="shared" si="19"/>
        <v>21892.527784001075</v>
      </c>
      <c r="R41" s="5">
        <f t="shared" si="43"/>
        <v>0</v>
      </c>
      <c r="S41" s="5">
        <f t="shared" si="44"/>
        <v>13798.04521488168</v>
      </c>
      <c r="T41" s="5">
        <f t="shared" si="1"/>
        <v>13798.04521488168</v>
      </c>
      <c r="U41" s="5">
        <f t="shared" si="20"/>
        <v>14577.221344946769</v>
      </c>
      <c r="W41" s="5">
        <f t="shared" si="21"/>
        <v>0</v>
      </c>
      <c r="X41" s="5">
        <f t="shared" si="22"/>
        <v>4511.8255057721472</v>
      </c>
      <c r="Y41" s="5">
        <f t="shared" si="23"/>
        <v>4511.8255057721472</v>
      </c>
      <c r="Z41" s="5">
        <f t="shared" si="24"/>
        <v>4766.6084610653288</v>
      </c>
      <c r="AB41" s="66">
        <f t="shared" si="25"/>
        <v>0</v>
      </c>
      <c r="AC41" s="66">
        <f t="shared" si="26"/>
        <v>6373.3196177954696</v>
      </c>
      <c r="AD41" s="5">
        <f t="shared" si="27"/>
        <v>6373.3196177954696</v>
      </c>
      <c r="AE41" s="5">
        <f t="shared" si="28"/>
        <v>6733.2212153134897</v>
      </c>
      <c r="AG41" s="5">
        <f t="shared" si="45"/>
        <v>0</v>
      </c>
      <c r="AH41" s="5">
        <f t="shared" si="46"/>
        <v>73.518354322447721</v>
      </c>
      <c r="AI41" s="5">
        <f t="shared" si="29"/>
        <v>73.518354322447721</v>
      </c>
      <c r="AJ41" s="5">
        <f t="shared" si="30"/>
        <v>77.669938544532755</v>
      </c>
      <c r="AL41" s="5">
        <f t="shared" si="4"/>
        <v>0</v>
      </c>
      <c r="AM41" s="5">
        <f t="shared" si="5"/>
        <v>1954.3094478163373</v>
      </c>
      <c r="AN41" s="5">
        <f t="shared" si="31"/>
        <v>1954.3094478163373</v>
      </c>
      <c r="AO41" s="5">
        <f t="shared" si="32"/>
        <v>2064.669375529636</v>
      </c>
      <c r="AQ41" s="5">
        <f t="shared" si="6"/>
        <v>0</v>
      </c>
      <c r="AR41" s="5">
        <f t="shared" si="7"/>
        <v>685.17156518650256</v>
      </c>
      <c r="AS41" s="5">
        <f t="shared" si="33"/>
        <v>685.17156518650256</v>
      </c>
      <c r="AT41" s="5">
        <f t="shared" si="34"/>
        <v>723.86322913444076</v>
      </c>
      <c r="AV41" s="5">
        <f t="shared" si="8"/>
        <v>0</v>
      </c>
      <c r="AW41" s="5">
        <f t="shared" si="9"/>
        <v>812.1196226935549</v>
      </c>
      <c r="AX41" s="5">
        <f t="shared" si="35"/>
        <v>812.1196226935549</v>
      </c>
      <c r="AY41" s="5">
        <f t="shared" si="36"/>
        <v>857.98004820352514</v>
      </c>
      <c r="BA41" s="5">
        <f t="shared" si="10"/>
        <v>0</v>
      </c>
      <c r="BB41" s="5">
        <f t="shared" si="11"/>
        <v>934.45242469267157</v>
      </c>
      <c r="BC41" s="5">
        <f t="shared" si="37"/>
        <v>934.45242469267157</v>
      </c>
      <c r="BD41" s="5">
        <f t="shared" si="38"/>
        <v>987.22098811328487</v>
      </c>
      <c r="BF41" s="5">
        <f t="shared" si="12"/>
        <v>0</v>
      </c>
      <c r="BG41" s="5">
        <f t="shared" si="13"/>
        <v>6199.7448566734256</v>
      </c>
      <c r="BH41" s="5">
        <f t="shared" si="39"/>
        <v>6199.7448566734256</v>
      </c>
      <c r="BI41" s="5">
        <f t="shared" si="40"/>
        <v>6549.8446809299558</v>
      </c>
      <c r="BK41" s="5">
        <f t="shared" si="14"/>
        <v>0</v>
      </c>
      <c r="BL41" s="5">
        <f t="shared" si="15"/>
        <v>1347.3731642837704</v>
      </c>
      <c r="BM41" s="5">
        <f t="shared" si="41"/>
        <v>1347.3731642837704</v>
      </c>
      <c r="BN41" s="5">
        <f t="shared" si="42"/>
        <v>1423.4593773342892</v>
      </c>
    </row>
    <row r="42" spans="1:66" x14ac:dyDescent="0.25">
      <c r="A42" s="29">
        <v>14702</v>
      </c>
      <c r="C42" s="3">
        <v>2305000</v>
      </c>
      <c r="D42" s="3">
        <v>106800</v>
      </c>
      <c r="E42" s="3">
        <f t="shared" si="0"/>
        <v>2411800</v>
      </c>
      <c r="F42" s="3">
        <v>112831</v>
      </c>
      <c r="H42" s="5">
        <f t="shared" si="2"/>
        <v>1239093.2478785363</v>
      </c>
      <c r="I42" s="5">
        <f>N42+S42+X42+AC42+AH42+AM42+AR42+AW42+BB42+BG42+BL42</f>
        <v>57412.216430988155</v>
      </c>
      <c r="J42" s="5">
        <f t="shared" si="16"/>
        <v>1296505.4643095245</v>
      </c>
      <c r="K42" s="5">
        <f>P42+U42+Z42+AE42+AJ42+AO42+AT42+AY42+BD42+BI42+BN42</f>
        <v>60654.286443116325</v>
      </c>
      <c r="M42" s="5">
        <f t="shared" si="17"/>
        <v>447237.69657383591</v>
      </c>
      <c r="N42" s="5">
        <f t="shared" si="18"/>
        <v>20722.336656870142</v>
      </c>
      <c r="O42" s="5">
        <f t="shared" si="3"/>
        <v>467960.03323070606</v>
      </c>
      <c r="P42" s="5">
        <f t="shared" si="19"/>
        <v>21892.527784001075</v>
      </c>
      <c r="R42" s="5">
        <f t="shared" si="43"/>
        <v>297794.8897032048</v>
      </c>
      <c r="S42" s="5">
        <f t="shared" si="44"/>
        <v>13798.04521488168</v>
      </c>
      <c r="T42" s="5">
        <f t="shared" si="1"/>
        <v>311592.93491808645</v>
      </c>
      <c r="U42" s="5">
        <f t="shared" si="20"/>
        <v>14577.221344946769</v>
      </c>
      <c r="W42" s="5">
        <f t="shared" si="21"/>
        <v>97376.009277198493</v>
      </c>
      <c r="X42" s="5">
        <f t="shared" si="22"/>
        <v>4511.8255057721472</v>
      </c>
      <c r="Y42" s="5">
        <f t="shared" si="23"/>
        <v>101887.83478297063</v>
      </c>
      <c r="Z42" s="5">
        <f t="shared" si="24"/>
        <v>4766.6084610653288</v>
      </c>
      <c r="AB42" s="66">
        <f t="shared" si="25"/>
        <v>137551.5142230202</v>
      </c>
      <c r="AC42" s="66">
        <f t="shared" si="26"/>
        <v>6373.3196177954696</v>
      </c>
      <c r="AD42" s="5">
        <f t="shared" si="27"/>
        <v>143924.83384081567</v>
      </c>
      <c r="AE42" s="5">
        <f t="shared" si="28"/>
        <v>6733.2212153134897</v>
      </c>
      <c r="AG42" s="5">
        <f t="shared" si="45"/>
        <v>1586.7023100490824</v>
      </c>
      <c r="AH42" s="5">
        <f t="shared" si="46"/>
        <v>73.518354322447721</v>
      </c>
      <c r="AI42" s="5">
        <f t="shared" si="29"/>
        <v>1660.2206643715301</v>
      </c>
      <c r="AJ42" s="5">
        <f t="shared" si="30"/>
        <v>77.669938544532755</v>
      </c>
      <c r="AL42" s="5">
        <f t="shared" si="4"/>
        <v>42178.682370942486</v>
      </c>
      <c r="AM42" s="5">
        <f t="shared" si="5"/>
        <v>1954.3094478163373</v>
      </c>
      <c r="AN42" s="5">
        <f t="shared" si="31"/>
        <v>44132.991818758826</v>
      </c>
      <c r="AO42" s="5">
        <f t="shared" si="32"/>
        <v>2064.669375529636</v>
      </c>
      <c r="AQ42" s="5">
        <f t="shared" si="6"/>
        <v>14787.644735532664</v>
      </c>
      <c r="AR42" s="5">
        <f t="shared" si="7"/>
        <v>685.17156518650256</v>
      </c>
      <c r="AS42" s="5">
        <f t="shared" si="33"/>
        <v>15472.816300719167</v>
      </c>
      <c r="AT42" s="5">
        <f t="shared" si="34"/>
        <v>723.86322913444076</v>
      </c>
      <c r="AV42" s="5">
        <f t="shared" si="8"/>
        <v>17527.488111504157</v>
      </c>
      <c r="AW42" s="5">
        <f t="shared" si="9"/>
        <v>812.1196226935549</v>
      </c>
      <c r="AX42" s="5">
        <f t="shared" si="35"/>
        <v>18339.607734197711</v>
      </c>
      <c r="AY42" s="5">
        <f t="shared" si="36"/>
        <v>857.98004820352514</v>
      </c>
      <c r="BA42" s="5">
        <f t="shared" si="10"/>
        <v>20167.723210829663</v>
      </c>
      <c r="BB42" s="5">
        <f t="shared" si="11"/>
        <v>934.45242469267157</v>
      </c>
      <c r="BC42" s="5">
        <f t="shared" si="37"/>
        <v>21102.175635522333</v>
      </c>
      <c r="BD42" s="5">
        <f t="shared" si="38"/>
        <v>987.22098811328487</v>
      </c>
      <c r="BF42" s="5">
        <f t="shared" si="12"/>
        <v>133805.35481865398</v>
      </c>
      <c r="BG42" s="5">
        <f t="shared" si="13"/>
        <v>6199.7448566734256</v>
      </c>
      <c r="BH42" s="5">
        <f t="shared" si="39"/>
        <v>140005.09967532742</v>
      </c>
      <c r="BI42" s="5">
        <f t="shared" si="40"/>
        <v>6549.8446809299558</v>
      </c>
      <c r="BK42" s="5">
        <f t="shared" si="14"/>
        <v>29079.542543764896</v>
      </c>
      <c r="BL42" s="5">
        <f t="shared" si="15"/>
        <v>1347.3731642837704</v>
      </c>
      <c r="BM42" s="5">
        <f t="shared" si="41"/>
        <v>30426.915708048666</v>
      </c>
      <c r="BN42" s="5">
        <f t="shared" si="42"/>
        <v>1423.4593773342892</v>
      </c>
    </row>
    <row r="43" spans="1:66" x14ac:dyDescent="0.25">
      <c r="A43" s="29">
        <v>14885</v>
      </c>
      <c r="D43" s="3">
        <v>72225</v>
      </c>
      <c r="E43" s="3">
        <f t="shared" si="0"/>
        <v>72225</v>
      </c>
      <c r="F43" s="3">
        <v>112831</v>
      </c>
      <c r="H43" s="5">
        <f t="shared" si="2"/>
        <v>0</v>
      </c>
      <c r="I43" s="5">
        <f>N43+S43+X43+AC43+AH43+AM43+AR43+AW43+BB43+BG43+BL43</f>
        <v>38825.817712810102</v>
      </c>
      <c r="J43" s="5">
        <f t="shared" si="16"/>
        <v>38825.817712810102</v>
      </c>
      <c r="K43" s="5">
        <f>P43+U43+Z43+AE43+AJ43+AO43+AT43+AY43+BD43+BI43+BN43</f>
        <v>60654.286443116325</v>
      </c>
      <c r="N43" s="5">
        <f t="shared" si="18"/>
        <v>14013.771208262602</v>
      </c>
      <c r="O43" s="5">
        <f t="shared" si="3"/>
        <v>14013.771208262602</v>
      </c>
      <c r="P43" s="5">
        <f t="shared" si="19"/>
        <v>21892.527784001075</v>
      </c>
      <c r="R43" s="5">
        <f t="shared" si="43"/>
        <v>0</v>
      </c>
      <c r="S43" s="5">
        <f t="shared" si="44"/>
        <v>9331.1218693336086</v>
      </c>
      <c r="T43" s="5">
        <f t="shared" si="1"/>
        <v>9331.1218693336086</v>
      </c>
      <c r="U43" s="5">
        <f t="shared" si="20"/>
        <v>14577.221344946769</v>
      </c>
      <c r="W43" s="5">
        <f t="shared" si="21"/>
        <v>0</v>
      </c>
      <c r="X43" s="5">
        <f t="shared" si="22"/>
        <v>3051.1853666141697</v>
      </c>
      <c r="Y43" s="5">
        <f t="shared" si="23"/>
        <v>3051.1853666141697</v>
      </c>
      <c r="Z43" s="5">
        <f t="shared" si="24"/>
        <v>4766.6084610653288</v>
      </c>
      <c r="AB43" s="66">
        <f t="shared" si="25"/>
        <v>0</v>
      </c>
      <c r="AC43" s="66">
        <f t="shared" si="26"/>
        <v>4310.0469044501669</v>
      </c>
      <c r="AD43" s="5">
        <f t="shared" si="27"/>
        <v>4310.0469044501669</v>
      </c>
      <c r="AE43" s="5">
        <f t="shared" si="28"/>
        <v>6733.2212153134897</v>
      </c>
      <c r="AG43" s="5">
        <f t="shared" si="45"/>
        <v>0</v>
      </c>
      <c r="AH43" s="5">
        <f t="shared" si="46"/>
        <v>49.717819671711482</v>
      </c>
      <c r="AI43" s="5">
        <f t="shared" si="29"/>
        <v>49.717819671711482</v>
      </c>
      <c r="AJ43" s="5">
        <f t="shared" si="30"/>
        <v>77.669938544532755</v>
      </c>
      <c r="AL43" s="5">
        <f t="shared" si="4"/>
        <v>0</v>
      </c>
      <c r="AM43" s="5">
        <f t="shared" si="5"/>
        <v>1321.6292122522</v>
      </c>
      <c r="AN43" s="5">
        <f t="shared" si="31"/>
        <v>1321.6292122522</v>
      </c>
      <c r="AO43" s="5">
        <f t="shared" si="32"/>
        <v>2064.669375529636</v>
      </c>
      <c r="AQ43" s="5">
        <f t="shared" si="6"/>
        <v>0</v>
      </c>
      <c r="AR43" s="5">
        <f t="shared" si="7"/>
        <v>463.3568941535126</v>
      </c>
      <c r="AS43" s="5">
        <f t="shared" si="33"/>
        <v>463.3568941535126</v>
      </c>
      <c r="AT43" s="5">
        <f t="shared" si="34"/>
        <v>723.86322913444076</v>
      </c>
      <c r="AV43" s="5">
        <f t="shared" si="8"/>
        <v>0</v>
      </c>
      <c r="AW43" s="5">
        <f t="shared" si="9"/>
        <v>549.20730102099253</v>
      </c>
      <c r="AX43" s="5">
        <f t="shared" si="35"/>
        <v>549.20730102099253</v>
      </c>
      <c r="AY43" s="5">
        <f t="shared" si="36"/>
        <v>857.98004820352514</v>
      </c>
      <c r="BA43" s="5">
        <f t="shared" si="10"/>
        <v>0</v>
      </c>
      <c r="BB43" s="5">
        <f t="shared" si="11"/>
        <v>631.9365765302266</v>
      </c>
      <c r="BC43" s="5">
        <f t="shared" si="37"/>
        <v>631.9365765302266</v>
      </c>
      <c r="BD43" s="5">
        <f t="shared" si="38"/>
        <v>987.22098811328487</v>
      </c>
      <c r="BF43" s="5">
        <f t="shared" si="12"/>
        <v>0</v>
      </c>
      <c r="BG43" s="5">
        <f t="shared" si="13"/>
        <v>4192.6645343936161</v>
      </c>
      <c r="BH43" s="5">
        <f t="shared" si="39"/>
        <v>4192.6645343936161</v>
      </c>
      <c r="BI43" s="5">
        <f t="shared" si="40"/>
        <v>6549.8446809299558</v>
      </c>
      <c r="BK43" s="5">
        <f t="shared" si="14"/>
        <v>0</v>
      </c>
      <c r="BL43" s="5">
        <f t="shared" si="15"/>
        <v>911.18002612729697</v>
      </c>
      <c r="BM43" s="5">
        <f t="shared" si="41"/>
        <v>911.18002612729697</v>
      </c>
      <c r="BN43" s="5">
        <f t="shared" si="42"/>
        <v>1423.4593773342892</v>
      </c>
    </row>
    <row r="44" spans="1:66" x14ac:dyDescent="0.25">
      <c r="A44" s="29">
        <v>15067</v>
      </c>
      <c r="C44" s="3">
        <v>2370000</v>
      </c>
      <c r="D44" s="3">
        <v>72225</v>
      </c>
      <c r="E44" s="3">
        <f t="shared" si="0"/>
        <v>2442225</v>
      </c>
      <c r="F44" s="3">
        <v>112831</v>
      </c>
      <c r="H44" s="5">
        <f t="shared" si="2"/>
        <v>1274035.1399011419</v>
      </c>
      <c r="I44" s="5">
        <f>N44+S44+X44+AC44+AH44+AM44+AR44+AW44+BB44+BG44+BL44</f>
        <v>38825.817712810102</v>
      </c>
      <c r="J44" s="5">
        <f t="shared" si="16"/>
        <v>1312860.957613952</v>
      </c>
      <c r="K44" s="5">
        <f>P44+U44+Z44+AE44+AJ44+AO44+AT44+AY44+BD44+BI44+BN44</f>
        <v>60654.286443116325</v>
      </c>
      <c r="M44" s="5">
        <f t="shared" si="17"/>
        <v>459849.60558784864</v>
      </c>
      <c r="N44" s="5">
        <f t="shared" si="18"/>
        <v>14013.771208262602</v>
      </c>
      <c r="O44" s="5">
        <f t="shared" si="3"/>
        <v>473863.37679611123</v>
      </c>
      <c r="P44" s="5">
        <f t="shared" si="19"/>
        <v>21892.527784001075</v>
      </c>
      <c r="R44" s="5">
        <f t="shared" si="43"/>
        <v>306192.5763976553</v>
      </c>
      <c r="S44" s="5">
        <f t="shared" si="44"/>
        <v>9331.1218693336086</v>
      </c>
      <c r="T44" s="5">
        <f t="shared" si="1"/>
        <v>315523.69826698891</v>
      </c>
      <c r="U44" s="5">
        <f t="shared" si="20"/>
        <v>14577.221344946769</v>
      </c>
      <c r="W44" s="5">
        <f t="shared" si="21"/>
        <v>100121.97049325831</v>
      </c>
      <c r="X44" s="5">
        <f t="shared" si="22"/>
        <v>3051.1853666141697</v>
      </c>
      <c r="Y44" s="5">
        <f t="shared" si="23"/>
        <v>103173.15585987248</v>
      </c>
      <c r="Z44" s="5">
        <f t="shared" si="24"/>
        <v>4766.6084610653288</v>
      </c>
      <c r="AB44" s="66">
        <f t="shared" si="25"/>
        <v>141430.40724883205</v>
      </c>
      <c r="AC44" s="66">
        <f t="shared" si="26"/>
        <v>4310.0469044501669</v>
      </c>
      <c r="AD44" s="5">
        <f t="shared" si="27"/>
        <v>145740.45415328222</v>
      </c>
      <c r="AE44" s="5">
        <f t="shared" si="28"/>
        <v>6733.2212153134897</v>
      </c>
      <c r="AG44" s="5">
        <f t="shared" si="45"/>
        <v>1631.4466268183623</v>
      </c>
      <c r="AH44" s="5">
        <f t="shared" si="46"/>
        <v>49.717819671711482</v>
      </c>
      <c r="AI44" s="5">
        <f t="shared" si="29"/>
        <v>1681.1644464900737</v>
      </c>
      <c r="AJ44" s="5">
        <f t="shared" si="30"/>
        <v>77.669938544532755</v>
      </c>
      <c r="AL44" s="5">
        <f t="shared" si="4"/>
        <v>43368.102915025462</v>
      </c>
      <c r="AM44" s="5">
        <f t="shared" si="5"/>
        <v>1321.6292122522</v>
      </c>
      <c r="AN44" s="5">
        <f t="shared" si="31"/>
        <v>44689.732127277661</v>
      </c>
      <c r="AO44" s="5">
        <f t="shared" si="32"/>
        <v>2064.669375529636</v>
      </c>
      <c r="AQ44" s="5">
        <f t="shared" si="6"/>
        <v>15204.64990161059</v>
      </c>
      <c r="AR44" s="5">
        <f t="shared" si="7"/>
        <v>463.3568941535126</v>
      </c>
      <c r="AS44" s="5">
        <f t="shared" si="33"/>
        <v>15668.006795764102</v>
      </c>
      <c r="AT44" s="5">
        <f t="shared" si="34"/>
        <v>723.86322913444076</v>
      </c>
      <c r="AV44" s="5">
        <f t="shared" si="8"/>
        <v>18021.755672132258</v>
      </c>
      <c r="AW44" s="5">
        <f t="shared" si="9"/>
        <v>549.20730102099253</v>
      </c>
      <c r="AX44" s="5">
        <f t="shared" si="35"/>
        <v>18570.962973153251</v>
      </c>
      <c r="AY44" s="5">
        <f t="shared" si="36"/>
        <v>857.98004820352514</v>
      </c>
      <c r="BA44" s="5">
        <f t="shared" si="10"/>
        <v>20736.444255820519</v>
      </c>
      <c r="BB44" s="5">
        <f t="shared" si="11"/>
        <v>631.9365765302266</v>
      </c>
      <c r="BC44" s="5">
        <f t="shared" si="37"/>
        <v>21368.380832350747</v>
      </c>
      <c r="BD44" s="5">
        <f t="shared" si="38"/>
        <v>987.22098811328487</v>
      </c>
      <c r="BF44" s="5">
        <f t="shared" si="12"/>
        <v>137578.60777449457</v>
      </c>
      <c r="BG44" s="5">
        <f t="shared" si="13"/>
        <v>4192.6645343936161</v>
      </c>
      <c r="BH44" s="5">
        <f t="shared" si="39"/>
        <v>141771.27230888818</v>
      </c>
      <c r="BI44" s="5">
        <f t="shared" si="40"/>
        <v>6549.8446809299558</v>
      </c>
      <c r="BK44" s="5">
        <f t="shared" si="14"/>
        <v>29899.573027645467</v>
      </c>
      <c r="BL44" s="5">
        <f t="shared" si="15"/>
        <v>911.18002612729697</v>
      </c>
      <c r="BM44" s="5">
        <f t="shared" si="41"/>
        <v>30810.753053772765</v>
      </c>
      <c r="BN44" s="5">
        <f t="shared" si="42"/>
        <v>1423.4593773342892</v>
      </c>
    </row>
    <row r="45" spans="1:66" x14ac:dyDescent="0.25">
      <c r="A45" s="29">
        <v>15250</v>
      </c>
      <c r="D45" s="3">
        <v>36675</v>
      </c>
      <c r="E45" s="3">
        <f t="shared" si="0"/>
        <v>36675</v>
      </c>
      <c r="F45" s="3">
        <v>112831</v>
      </c>
      <c r="H45" s="5">
        <f t="shared" si="2"/>
        <v>0</v>
      </c>
      <c r="I45" s="5">
        <f>N45+S45+X45+AC45+AH45+AM45+AR45+AW45+BB45+BG45+BL45</f>
        <v>19715.290614292979</v>
      </c>
      <c r="J45" s="5">
        <f t="shared" si="16"/>
        <v>19715.290614292979</v>
      </c>
      <c r="K45" s="5">
        <f>P45+U45+Z45+AE45+AJ45+AO45+AT45+AY45+BD45+BI45+BN45</f>
        <v>60654.286443116325</v>
      </c>
      <c r="N45" s="5">
        <f t="shared" si="18"/>
        <v>7116.0271244448732</v>
      </c>
      <c r="O45" s="5">
        <f t="shared" si="3"/>
        <v>7116.0271244448732</v>
      </c>
      <c r="P45" s="5">
        <f t="shared" si="19"/>
        <v>21892.527784001075</v>
      </c>
      <c r="R45" s="5">
        <f t="shared" si="43"/>
        <v>0</v>
      </c>
      <c r="S45" s="5">
        <f t="shared" si="44"/>
        <v>4738.2332233687794</v>
      </c>
      <c r="T45" s="5">
        <f t="shared" si="1"/>
        <v>4738.2332233687794</v>
      </c>
      <c r="U45" s="5">
        <f t="shared" si="20"/>
        <v>14577.221344946769</v>
      </c>
      <c r="W45" s="5">
        <f t="shared" si="21"/>
        <v>0</v>
      </c>
      <c r="X45" s="5">
        <f t="shared" si="22"/>
        <v>1549.3558092152948</v>
      </c>
      <c r="Y45" s="5">
        <f t="shared" si="23"/>
        <v>1549.3558092152948</v>
      </c>
      <c r="Z45" s="5">
        <f t="shared" si="24"/>
        <v>4766.6084610653288</v>
      </c>
      <c r="AB45" s="66">
        <f t="shared" si="25"/>
        <v>0</v>
      </c>
      <c r="AC45" s="66">
        <f t="shared" si="26"/>
        <v>2188.590795717686</v>
      </c>
      <c r="AD45" s="5">
        <f t="shared" si="27"/>
        <v>2188.590795717686</v>
      </c>
      <c r="AE45" s="5">
        <f t="shared" si="28"/>
        <v>6733.2212153134897</v>
      </c>
      <c r="AG45" s="5">
        <f t="shared" si="45"/>
        <v>0</v>
      </c>
      <c r="AH45" s="5">
        <f t="shared" si="46"/>
        <v>25.246120269436048</v>
      </c>
      <c r="AI45" s="5">
        <f t="shared" si="29"/>
        <v>25.246120269436048</v>
      </c>
      <c r="AJ45" s="5">
        <f t="shared" si="30"/>
        <v>77.669938544532755</v>
      </c>
      <c r="AL45" s="5">
        <f t="shared" si="4"/>
        <v>0</v>
      </c>
      <c r="AM45" s="5">
        <f t="shared" si="5"/>
        <v>671.10766852681809</v>
      </c>
      <c r="AN45" s="5">
        <f t="shared" si="31"/>
        <v>671.10766852681809</v>
      </c>
      <c r="AO45" s="5">
        <f t="shared" si="32"/>
        <v>2064.669375529636</v>
      </c>
      <c r="AQ45" s="5">
        <f t="shared" si="6"/>
        <v>0</v>
      </c>
      <c r="AR45" s="5">
        <f t="shared" si="7"/>
        <v>235.28714562935377</v>
      </c>
      <c r="AS45" s="5">
        <f t="shared" si="33"/>
        <v>235.28714562935377</v>
      </c>
      <c r="AT45" s="5">
        <f t="shared" si="34"/>
        <v>723.86322913444076</v>
      </c>
      <c r="AV45" s="5">
        <f t="shared" si="8"/>
        <v>0</v>
      </c>
      <c r="AW45" s="5">
        <f t="shared" si="9"/>
        <v>278.88096593900866</v>
      </c>
      <c r="AX45" s="5">
        <f t="shared" si="35"/>
        <v>278.88096593900866</v>
      </c>
      <c r="AY45" s="5">
        <f t="shared" si="36"/>
        <v>857.98004820352514</v>
      </c>
      <c r="BA45" s="5">
        <f t="shared" si="10"/>
        <v>0</v>
      </c>
      <c r="BB45" s="5">
        <f t="shared" si="11"/>
        <v>320.88991269291881</v>
      </c>
      <c r="BC45" s="5">
        <f t="shared" si="37"/>
        <v>320.88991269291881</v>
      </c>
      <c r="BD45" s="5">
        <f t="shared" si="38"/>
        <v>987.22098811328487</v>
      </c>
      <c r="BF45" s="5">
        <f t="shared" si="12"/>
        <v>0</v>
      </c>
      <c r="BG45" s="5">
        <f t="shared" si="13"/>
        <v>2128.9854177761972</v>
      </c>
      <c r="BH45" s="5">
        <f t="shared" si="39"/>
        <v>2128.9854177761972</v>
      </c>
      <c r="BI45" s="5">
        <f t="shared" si="40"/>
        <v>6549.8446809299558</v>
      </c>
      <c r="BK45" s="5">
        <f t="shared" si="14"/>
        <v>0</v>
      </c>
      <c r="BL45" s="5">
        <f t="shared" si="15"/>
        <v>462.68643071261499</v>
      </c>
      <c r="BM45" s="5">
        <f t="shared" si="41"/>
        <v>462.68643071261499</v>
      </c>
      <c r="BN45" s="5">
        <f t="shared" si="42"/>
        <v>1423.4593773342892</v>
      </c>
    </row>
    <row r="46" spans="1:66" x14ac:dyDescent="0.25">
      <c r="A46" s="29">
        <v>15432</v>
      </c>
      <c r="C46" s="3">
        <v>2445000</v>
      </c>
      <c r="D46" s="3">
        <v>36675</v>
      </c>
      <c r="E46" s="3">
        <f t="shared" si="0"/>
        <v>2481675</v>
      </c>
      <c r="F46" s="3">
        <v>112831</v>
      </c>
      <c r="H46" s="5">
        <f t="shared" si="2"/>
        <v>1314352.707619532</v>
      </c>
      <c r="I46" s="5">
        <f>N46+S46+X46+AC46+AH46+AM46+AR46+AW46+BB46+BG46+BL46</f>
        <v>19715.290614292979</v>
      </c>
      <c r="J46" s="5">
        <f t="shared" si="16"/>
        <v>1334067.998233825</v>
      </c>
      <c r="K46" s="5">
        <f>P46+U46+Z46+AE46+AJ46+AO46+AT46+AY46+BD46+BI46+BN46</f>
        <v>60654.286443116325</v>
      </c>
      <c r="M46" s="5">
        <f>C46*$N$7</f>
        <v>474401.80829632486</v>
      </c>
      <c r="N46" s="5">
        <f>D46*$N$7</f>
        <v>7116.0271244448732</v>
      </c>
      <c r="O46" s="5">
        <f t="shared" si="3"/>
        <v>481517.83542076976</v>
      </c>
      <c r="P46" s="5">
        <f t="shared" si="19"/>
        <v>21892.527784001075</v>
      </c>
      <c r="R46" s="5">
        <f t="shared" si="43"/>
        <v>315882.21489125199</v>
      </c>
      <c r="S46" s="5">
        <f t="shared" si="44"/>
        <v>4738.2332233687794</v>
      </c>
      <c r="T46" s="5">
        <f t="shared" si="1"/>
        <v>320620.44811462075</v>
      </c>
      <c r="U46" s="5">
        <f t="shared" si="20"/>
        <v>14577.221344946769</v>
      </c>
      <c r="W46" s="5">
        <f t="shared" si="21"/>
        <v>103290.38728101965</v>
      </c>
      <c r="X46" s="5">
        <f t="shared" si="22"/>
        <v>1549.3558092152948</v>
      </c>
      <c r="Y46" s="5">
        <f t="shared" si="23"/>
        <v>104839.74309023494</v>
      </c>
      <c r="Z46" s="5">
        <f t="shared" si="24"/>
        <v>4766.6084610653288</v>
      </c>
      <c r="AB46" s="66">
        <f t="shared" si="25"/>
        <v>145906.05304784572</v>
      </c>
      <c r="AC46" s="66">
        <f t="shared" si="26"/>
        <v>2188.590795717686</v>
      </c>
      <c r="AD46" s="5">
        <f t="shared" si="27"/>
        <v>148094.64384356342</v>
      </c>
      <c r="AE46" s="5">
        <f t="shared" si="28"/>
        <v>6733.2212153134897</v>
      </c>
      <c r="AG46" s="5">
        <f t="shared" si="45"/>
        <v>1683.0746846290699</v>
      </c>
      <c r="AH46" s="5">
        <f t="shared" si="46"/>
        <v>25.246120269436048</v>
      </c>
      <c r="AI46" s="5">
        <f t="shared" si="29"/>
        <v>1708.3208048985059</v>
      </c>
      <c r="AJ46" s="5">
        <f t="shared" si="30"/>
        <v>77.669938544532755</v>
      </c>
      <c r="AL46" s="5">
        <f t="shared" si="4"/>
        <v>44740.511235121201</v>
      </c>
      <c r="AM46" s="5">
        <f t="shared" si="5"/>
        <v>671.10766852681809</v>
      </c>
      <c r="AN46" s="5">
        <f t="shared" si="31"/>
        <v>45411.618903648021</v>
      </c>
      <c r="AO46" s="5">
        <f t="shared" si="32"/>
        <v>2064.669375529636</v>
      </c>
      <c r="AQ46" s="5">
        <f t="shared" si="6"/>
        <v>15685.809708623585</v>
      </c>
      <c r="AR46" s="5">
        <f t="shared" si="7"/>
        <v>235.28714562935377</v>
      </c>
      <c r="AS46" s="5">
        <f t="shared" si="33"/>
        <v>15921.096854252939</v>
      </c>
      <c r="AT46" s="5">
        <f t="shared" si="34"/>
        <v>723.86322913444076</v>
      </c>
      <c r="AV46" s="5">
        <f t="shared" si="8"/>
        <v>18592.06439593391</v>
      </c>
      <c r="AW46" s="5">
        <f t="shared" si="9"/>
        <v>278.88096593900866</v>
      </c>
      <c r="AX46" s="5">
        <f t="shared" si="35"/>
        <v>18870.94536187292</v>
      </c>
      <c r="AY46" s="5">
        <f t="shared" si="36"/>
        <v>857.98004820352514</v>
      </c>
      <c r="BA46" s="5">
        <f t="shared" si="10"/>
        <v>21392.660846194587</v>
      </c>
      <c r="BB46" s="5">
        <f t="shared" si="11"/>
        <v>320.88991269291881</v>
      </c>
      <c r="BC46" s="5">
        <f t="shared" si="37"/>
        <v>21713.550758887504</v>
      </c>
      <c r="BD46" s="5">
        <f t="shared" si="38"/>
        <v>987.22098811328487</v>
      </c>
      <c r="BF46" s="5">
        <f t="shared" si="12"/>
        <v>141932.36118507982</v>
      </c>
      <c r="BG46" s="5">
        <f t="shared" si="13"/>
        <v>2128.9854177761972</v>
      </c>
      <c r="BH46" s="5">
        <f t="shared" si="39"/>
        <v>144061.34660285601</v>
      </c>
      <c r="BI46" s="5">
        <f t="shared" si="40"/>
        <v>6549.8446809299558</v>
      </c>
      <c r="BK46" s="5">
        <f t="shared" si="14"/>
        <v>30845.762047507666</v>
      </c>
      <c r="BL46" s="5">
        <f t="shared" si="15"/>
        <v>462.68643071261499</v>
      </c>
      <c r="BM46" s="5">
        <f t="shared" si="41"/>
        <v>31308.448478220282</v>
      </c>
      <c r="BN46" s="5">
        <f t="shared" si="42"/>
        <v>1423.4593773342892</v>
      </c>
    </row>
    <row r="48" spans="1:66" ht="13.8" thickBot="1" x14ac:dyDescent="0.3">
      <c r="C48" s="32">
        <f>SUM(C9:C47)</f>
        <v>34625000</v>
      </c>
      <c r="D48" s="32">
        <f>SUM(D9:D47)</f>
        <v>13181200</v>
      </c>
      <c r="E48" s="32">
        <f>SUM(E9:E47)</f>
        <v>47806200</v>
      </c>
      <c r="F48" s="32">
        <f>SUM(F9:F47)</f>
        <v>4287567</v>
      </c>
      <c r="H48" s="32">
        <f>SUM(H9:H46)</f>
        <v>18560428.47609812</v>
      </c>
      <c r="I48" s="32">
        <f>SUM(I9:I46)</f>
        <v>6807972.4191950662</v>
      </c>
      <c r="J48" s="32">
        <f>SUM(J9:J46)</f>
        <v>25368400.895293187</v>
      </c>
      <c r="K48" s="32">
        <f>SUM(K9:K46)</f>
        <v>2257399.6170957158</v>
      </c>
      <c r="M48" s="32">
        <f>SUM(M9:M46)</f>
        <v>6716949.3887152178</v>
      </c>
      <c r="N48" s="32">
        <f>SUM(N9:N46)</f>
        <v>2459728.0838800776</v>
      </c>
      <c r="O48" s="32">
        <f>SUM(O9:O46)</f>
        <v>9176677.4725952968</v>
      </c>
      <c r="P48" s="32">
        <f>SUM(P9:P46)</f>
        <v>815205.40473976161</v>
      </c>
      <c r="Q48" s="3"/>
      <c r="R48" s="32">
        <f>SUM(R9:R46)</f>
        <v>4469394.4252808299</v>
      </c>
      <c r="S48" s="32">
        <f>SUM(S9:S46)</f>
        <v>1645857.4249701477</v>
      </c>
      <c r="T48" s="32">
        <f>SUM(T9:T46)</f>
        <v>6115251.8502509762</v>
      </c>
      <c r="U48" s="32">
        <f>SUM(U9:U46)</f>
        <v>544180.65877268673</v>
      </c>
      <c r="W48" s="32">
        <f>SUM(W9:W46)</f>
        <v>1462819.586269404</v>
      </c>
      <c r="X48" s="32">
        <f>SUM(X9:X46)</f>
        <v>535669.53989329434</v>
      </c>
      <c r="Y48" s="32">
        <f>SUM(Y9:Y46)</f>
        <v>1998489.1261626983</v>
      </c>
      <c r="Z48" s="32">
        <f>SUM(Z9:Z46)</f>
        <v>177513.03818151518</v>
      </c>
      <c r="AB48" s="32">
        <f>SUM(AB9:AB46)</f>
        <v>2031897.4517399445</v>
      </c>
      <c r="AC48" s="32">
        <f>SUM(AC9:AC46)</f>
        <v>729242.32118357089</v>
      </c>
      <c r="AD48" s="32">
        <f>SUM(AD9:AD46)</f>
        <v>2761139.7729235142</v>
      </c>
      <c r="AE48" s="32">
        <f>SUM(AE9:AE46)</f>
        <v>246064.83373883262</v>
      </c>
      <c r="AG48" s="32">
        <f>SUM(AG9:AG46)</f>
        <v>23012.346301492762</v>
      </c>
      <c r="AH48" s="32">
        <f>SUM(AH9:AH46)</f>
        <v>8164.3233873644813</v>
      </c>
      <c r="AI48" s="32">
        <f>SUM(AI9:AI46)</f>
        <v>31176.669688857241</v>
      </c>
      <c r="AJ48" s="32">
        <f>SUM(AJ9:AJ46)</f>
        <v>2796.1177876031775</v>
      </c>
      <c r="AL48" s="32">
        <f>SUM(AL9:AL46)</f>
        <v>633624.26898817555</v>
      </c>
      <c r="AM48" s="32">
        <f>SUM(AM9:AM46)</f>
        <v>238485.85124820791</v>
      </c>
      <c r="AN48" s="32">
        <f>SUM(AN9:AN46)</f>
        <v>872110.1202363834</v>
      </c>
      <c r="AO48" s="32">
        <f>SUM(AO9:AO46)</f>
        <v>77993.62250767136</v>
      </c>
      <c r="AQ48" s="32">
        <f>SUM(AQ9:AQ46)</f>
        <v>216334.95714592494</v>
      </c>
      <c r="AR48" s="32">
        <f>SUM(AR9:AR46)</f>
        <v>77120.62146321607</v>
      </c>
      <c r="AS48" s="32">
        <f>SUM(AS9:AS46)</f>
        <v>293455.57860914106</v>
      </c>
      <c r="AT48" s="32">
        <f>SUM(AT9:AT46)</f>
        <v>26235.261855339857</v>
      </c>
      <c r="AV48" s="32">
        <f>SUM(AV9:AV46)</f>
        <v>261904.73775919041</v>
      </c>
      <c r="AW48" s="32">
        <f>SUM(AW9:AW46)</f>
        <v>95852.757049167543</v>
      </c>
      <c r="AX48" s="32">
        <f>SUM(AX9:AX46)</f>
        <v>357757.49480835808</v>
      </c>
      <c r="AY48" s="32">
        <f>SUM(AY9:AY46)</f>
        <v>31855.176578547886</v>
      </c>
      <c r="BA48" s="32">
        <f>SUM(BA9:BA46)</f>
        <v>301981.10102981748</v>
      </c>
      <c r="BB48" s="32">
        <f>SUM(BB9:BB46)</f>
        <v>112111.58114685977</v>
      </c>
      <c r="BC48" s="32">
        <f>SUM(BC9:BC46)</f>
        <v>414092.68217667734</v>
      </c>
      <c r="BD48" s="32">
        <f>SUM(BD9:BD46)</f>
        <v>36964.576133672999</v>
      </c>
      <c r="BF48" s="32">
        <f>SUM(BF9:BF46)</f>
        <v>2008170.0021152911</v>
      </c>
      <c r="BG48" s="32">
        <f>SUM(BG9:BG46)</f>
        <v>747009.78150573419</v>
      </c>
      <c r="BH48" s="32">
        <f>SUM(BH9:BH46)</f>
        <v>2755179.7836210267</v>
      </c>
      <c r="BI48" s="32">
        <f>SUM(BI9:BI46)</f>
        <v>245791.38752846024</v>
      </c>
      <c r="BK48" s="32">
        <f>SUM(BK9:BK46)</f>
        <v>434340.21075282723</v>
      </c>
      <c r="BL48" s="32">
        <f>SUM(BL9:BL46)</f>
        <v>158730.13346742585</v>
      </c>
      <c r="BM48" s="32">
        <f>SUM(BM9:BM46)</f>
        <v>593070.34422025294</v>
      </c>
      <c r="BN48" s="32">
        <f>SUM(BN9:BN46)</f>
        <v>52799.539271623617</v>
      </c>
    </row>
    <row r="49" spans="3:4" ht="13.8" thickTop="1" x14ac:dyDescent="0.25">
      <c r="C49"/>
      <c r="D49"/>
    </row>
    <row r="50" spans="3:4" x14ac:dyDescent="0.25">
      <c r="C50"/>
      <c r="D50"/>
    </row>
    <row r="51" spans="3:4" x14ac:dyDescent="0.25">
      <c r="C51" s="5"/>
      <c r="D51" s="5"/>
    </row>
    <row r="52" spans="3:4" x14ac:dyDescent="0.25">
      <c r="C52"/>
      <c r="D52"/>
    </row>
    <row r="53" spans="3:4" x14ac:dyDescent="0.25">
      <c r="C53"/>
      <c r="D53"/>
    </row>
    <row r="54" spans="3:4" x14ac:dyDescent="0.25">
      <c r="C54"/>
      <c r="D54"/>
    </row>
  </sheetData>
  <pageMargins left="0.7" right="0.9" top="0.75" bottom="0.75" header="0.3" footer="0.3"/>
  <pageSetup scale="80" orientation="landscape" r:id="rId1"/>
  <colBreaks count="4" manualBreakCount="4">
    <brk id="16" max="49" man="1"/>
    <brk id="31" max="49" man="1"/>
    <brk id="46" max="49" man="1"/>
    <brk id="6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79998168889431442"/>
  </sheetPr>
  <dimension ref="A1:CA34"/>
  <sheetViews>
    <sheetView zoomScaleNormal="100" workbookViewId="0">
      <pane xSplit="2" ySplit="8" topLeftCell="C15" activePane="bottomRight" state="frozen"/>
      <selection pane="topRight" activeCell="C1" sqref="C1"/>
      <selection pane="bottomLeft" activeCell="A9" sqref="A9"/>
      <selection pane="bottomRight" activeCell="J31" sqref="J31"/>
    </sheetView>
  </sheetViews>
  <sheetFormatPr defaultRowHeight="13.2" x14ac:dyDescent="0.25"/>
  <cols>
    <col min="1" max="1" width="9.6640625" style="29" customWidth="1"/>
    <col min="2" max="2" width="3.6640625" customWidth="1"/>
    <col min="3" max="6" width="13.6640625" style="3" customWidth="1"/>
    <col min="7" max="7" width="3.6640625" customWidth="1"/>
    <col min="8" max="11" width="13.6640625" style="5" customWidth="1"/>
    <col min="12" max="12" width="3.6640625" style="5" customWidth="1"/>
    <col min="13" max="16" width="12.6640625" style="5" customWidth="1"/>
    <col min="17" max="17" width="3.6640625" style="5" customWidth="1"/>
    <col min="18" max="21" width="13.6640625" style="5" customWidth="1"/>
    <col min="22" max="22" width="3.6640625" style="5" customWidth="1"/>
    <col min="23" max="26" width="13.6640625" style="5" customWidth="1"/>
    <col min="27" max="27" width="3.6640625" style="5" customWidth="1"/>
    <col min="28" max="31" width="13.6640625" style="5" customWidth="1"/>
    <col min="32" max="32" width="3.6640625" style="5" customWidth="1"/>
    <col min="33" max="36" width="13.6640625" style="5" customWidth="1"/>
    <col min="37" max="37" width="3.6640625" style="5" customWidth="1"/>
    <col min="38" max="39" width="12.6640625" style="5" customWidth="1"/>
    <col min="40" max="41" width="14.109375" style="5" customWidth="1"/>
    <col min="42" max="42" width="3.6640625" style="5" customWidth="1"/>
    <col min="43" max="44" width="12.6640625" style="5" customWidth="1"/>
    <col min="45" max="46" width="14.109375" style="5" customWidth="1"/>
    <col min="47" max="47" width="3.6640625" style="5" customWidth="1"/>
    <col min="48" max="49" width="12.6640625" style="5" customWidth="1"/>
    <col min="50" max="51" width="13.6640625" style="5" customWidth="1"/>
    <col min="52" max="52" width="3.6640625" style="5" customWidth="1"/>
    <col min="53" max="56" width="13.6640625" style="5" customWidth="1"/>
    <col min="57" max="57" width="3.6640625" style="5" customWidth="1"/>
    <col min="58" max="61" width="13.6640625" style="5" customWidth="1"/>
    <col min="62" max="62" width="3.6640625" style="5" customWidth="1"/>
    <col min="63" max="66" width="13.6640625" style="5" customWidth="1"/>
    <col min="67" max="67" width="3.6640625" style="5" customWidth="1"/>
    <col min="68" max="71" width="13.6640625" style="5" customWidth="1"/>
    <col min="72" max="72" width="3.6640625" style="5" customWidth="1"/>
    <col min="73" max="76" width="13.6640625" style="5" customWidth="1"/>
    <col min="77" max="77" width="3.6640625" style="5" customWidth="1"/>
  </cols>
  <sheetData>
    <row r="1" spans="1:79" x14ac:dyDescent="0.25">
      <c r="A1" s="1"/>
      <c r="B1" s="2"/>
      <c r="D1" s="4"/>
      <c r="H1" s="4" t="s">
        <v>27</v>
      </c>
      <c r="W1" s="4" t="s">
        <v>27</v>
      </c>
      <c r="AB1" s="4"/>
      <c r="AL1" s="4" t="s">
        <v>27</v>
      </c>
      <c r="BA1" s="4" t="s">
        <v>27</v>
      </c>
      <c r="BP1" s="4" t="s">
        <v>27</v>
      </c>
      <c r="CA1" s="4"/>
    </row>
    <row r="2" spans="1:79" x14ac:dyDescent="0.25">
      <c r="A2" s="1"/>
      <c r="B2" s="2"/>
      <c r="D2" s="4"/>
      <c r="H2" s="4" t="s">
        <v>26</v>
      </c>
      <c r="W2" s="4" t="s">
        <v>26</v>
      </c>
      <c r="AB2" s="4"/>
      <c r="AL2" s="4" t="s">
        <v>26</v>
      </c>
      <c r="BA2" s="4" t="s">
        <v>26</v>
      </c>
      <c r="BP2" s="4" t="s">
        <v>26</v>
      </c>
      <c r="CA2" s="4"/>
    </row>
    <row r="3" spans="1:79" x14ac:dyDescent="0.25">
      <c r="A3" s="1"/>
      <c r="B3" s="2"/>
      <c r="D3" s="7"/>
      <c r="H3" s="62" t="s">
        <v>112</v>
      </c>
      <c r="W3" s="62" t="s">
        <v>112</v>
      </c>
      <c r="AB3" s="62"/>
      <c r="AL3" s="62" t="s">
        <v>112</v>
      </c>
      <c r="BA3" s="62" t="s">
        <v>112</v>
      </c>
      <c r="BP3" s="62" t="s">
        <v>112</v>
      </c>
      <c r="CA3" s="62"/>
    </row>
    <row r="4" spans="1:79" x14ac:dyDescent="0.25">
      <c r="A4" s="1"/>
      <c r="B4" s="2"/>
      <c r="C4" s="7"/>
      <c r="D4" s="4"/>
      <c r="T4" s="66"/>
      <c r="U4" s="66"/>
      <c r="BW4" s="66"/>
      <c r="BX4" s="66"/>
    </row>
    <row r="5" spans="1:79" x14ac:dyDescent="0.25">
      <c r="A5" s="9" t="s">
        <v>0</v>
      </c>
      <c r="C5" s="63" t="s">
        <v>118</v>
      </c>
      <c r="D5" s="10"/>
      <c r="E5" s="11"/>
      <c r="F5" s="386"/>
      <c r="H5" s="59" t="s">
        <v>114</v>
      </c>
      <c r="I5" s="13"/>
      <c r="J5" s="14"/>
      <c r="K5" s="3"/>
      <c r="M5" s="57" t="s">
        <v>28</v>
      </c>
      <c r="N5" s="13"/>
      <c r="O5" s="14"/>
      <c r="P5" s="3"/>
      <c r="Q5" s="3"/>
      <c r="R5" s="34" t="s">
        <v>5</v>
      </c>
      <c r="S5" s="13"/>
      <c r="T5" s="14"/>
      <c r="U5" s="3"/>
      <c r="W5" s="34" t="s">
        <v>82</v>
      </c>
      <c r="X5" s="13"/>
      <c r="Y5" s="14"/>
      <c r="Z5" s="3"/>
      <c r="AB5" s="12" t="s">
        <v>6</v>
      </c>
      <c r="AC5" s="13"/>
      <c r="AD5" s="14"/>
      <c r="AE5" s="3"/>
      <c r="AG5" s="34" t="s">
        <v>130</v>
      </c>
      <c r="AH5" s="13"/>
      <c r="AI5" s="14"/>
      <c r="AJ5" s="3"/>
      <c r="AL5" s="12" t="s">
        <v>83</v>
      </c>
      <c r="AM5" s="13"/>
      <c r="AN5" s="14"/>
      <c r="AO5" s="3"/>
      <c r="AQ5" s="34" t="s">
        <v>67</v>
      </c>
      <c r="AR5" s="13"/>
      <c r="AS5" s="14"/>
      <c r="AT5" s="3"/>
      <c r="AV5" s="12" t="s">
        <v>68</v>
      </c>
      <c r="AW5" s="13"/>
      <c r="AX5" s="14"/>
      <c r="AY5" s="3"/>
      <c r="BA5" s="12" t="s">
        <v>69</v>
      </c>
      <c r="BB5" s="13"/>
      <c r="BC5" s="14"/>
      <c r="BD5" s="3"/>
      <c r="BF5" s="12" t="s">
        <v>70</v>
      </c>
      <c r="BG5" s="13"/>
      <c r="BH5" s="14"/>
      <c r="BI5" s="3"/>
      <c r="BK5" s="12" t="s">
        <v>71</v>
      </c>
      <c r="BL5" s="13"/>
      <c r="BM5" s="14"/>
      <c r="BN5" s="3"/>
      <c r="BP5" s="12" t="s">
        <v>72</v>
      </c>
      <c r="BQ5" s="13"/>
      <c r="BR5" s="14"/>
      <c r="BS5" s="3"/>
      <c r="BU5" s="18" t="s">
        <v>52</v>
      </c>
      <c r="BV5" s="16"/>
      <c r="BW5" s="17"/>
      <c r="BX5" s="3"/>
    </row>
    <row r="6" spans="1:79" x14ac:dyDescent="0.25">
      <c r="A6" s="19" t="s">
        <v>1</v>
      </c>
      <c r="B6" s="8"/>
      <c r="C6" s="315" t="s">
        <v>119</v>
      </c>
      <c r="D6" s="316"/>
      <c r="E6" s="317"/>
      <c r="F6" s="26" t="s">
        <v>639</v>
      </c>
      <c r="H6" s="20">
        <f>M6+R6+W6+AB6+AL6+AQ6+AV6+BA6+BF6+BK6+BP6+BU6+AG6</f>
        <v>0.999999996</v>
      </c>
      <c r="I6" s="20">
        <f>N6+S6+X6+AC6+AM6+AR6+AW6+BB6+BG6+BL6+BQ6+BV6+AH6</f>
        <v>0.99999999999999989</v>
      </c>
      <c r="J6" s="20">
        <f>O6+T6+Y6+AD6+AN6+AS6+AX6+BC6+BH6+BM6+BR6+BW6+AI6</f>
        <v>0.99999999999999967</v>
      </c>
      <c r="K6" s="26" t="s">
        <v>639</v>
      </c>
      <c r="M6" s="35">
        <v>0.14621239999999999</v>
      </c>
      <c r="N6" s="8">
        <v>0.33602504319999998</v>
      </c>
      <c r="O6" s="314">
        <v>0.42528220599999994</v>
      </c>
      <c r="P6" s="26" t="s">
        <v>639</v>
      </c>
      <c r="Q6" s="55"/>
      <c r="R6" s="35">
        <v>0.14801367239999999</v>
      </c>
      <c r="S6" s="8">
        <v>0.18488873519999996</v>
      </c>
      <c r="T6" s="314">
        <v>0.2165369576</v>
      </c>
      <c r="U6" s="26" t="s">
        <v>639</v>
      </c>
      <c r="W6" s="35">
        <v>1.7033900000000001E-2</v>
      </c>
      <c r="X6" s="8">
        <v>3.7088730800000004E-2</v>
      </c>
      <c r="Y6" s="314">
        <v>3.7095630799999994E-2</v>
      </c>
      <c r="Z6" s="26" t="s">
        <v>639</v>
      </c>
      <c r="AB6" s="35">
        <v>3.9246999999999997E-3</v>
      </c>
      <c r="AC6" s="8">
        <v>1.8019429199999999E-2</v>
      </c>
      <c r="AD6" s="314">
        <v>1.9710838399999996E-2</v>
      </c>
      <c r="AE6" s="26" t="s">
        <v>639</v>
      </c>
      <c r="AG6" s="35">
        <v>5.6581000000000001E-3</v>
      </c>
      <c r="AH6" s="8">
        <v>8.6467248E-3</v>
      </c>
      <c r="AI6" s="314">
        <v>8.6467247999999983E-3</v>
      </c>
      <c r="AJ6" s="26" t="s">
        <v>639</v>
      </c>
      <c r="AL6" s="35">
        <v>3.7348300000000001E-2</v>
      </c>
      <c r="AM6" s="21">
        <v>5.49703972E-2</v>
      </c>
      <c r="AN6" s="314">
        <v>5.4970397199999986E-2</v>
      </c>
      <c r="AO6" s="26" t="s">
        <v>639</v>
      </c>
      <c r="AQ6" s="35">
        <v>7.14809E-2</v>
      </c>
      <c r="AR6" s="21">
        <v>7.2065590400000004E-2</v>
      </c>
      <c r="AS6" s="314">
        <v>7.4321590399999984E-2</v>
      </c>
      <c r="AT6" s="26" t="s">
        <v>639</v>
      </c>
      <c r="AV6" s="35">
        <v>8.7907999999999997E-3</v>
      </c>
      <c r="AW6" s="21">
        <v>2.92170868E-2</v>
      </c>
      <c r="AX6" s="314">
        <v>3.3015374799999997E-2</v>
      </c>
      <c r="AY6" s="26" t="s">
        <v>639</v>
      </c>
      <c r="BA6" s="35">
        <v>2.7055599999999999E-2</v>
      </c>
      <c r="BB6" s="8">
        <v>5.9012118400000008E-2</v>
      </c>
      <c r="BC6" s="314">
        <v>6.2507709199999983E-2</v>
      </c>
      <c r="BD6" s="26" t="s">
        <v>639</v>
      </c>
      <c r="BF6" s="35">
        <v>8.2222000000000007E-3</v>
      </c>
      <c r="BG6" s="8">
        <v>3.3484005999999997E-2</v>
      </c>
      <c r="BH6" s="314">
        <v>3.5362644399999997E-2</v>
      </c>
      <c r="BI6" s="26" t="s">
        <v>639</v>
      </c>
      <c r="BK6" s="35">
        <v>2.0628299999999999E-2</v>
      </c>
      <c r="BL6" s="8">
        <v>2.6206422400000002E-2</v>
      </c>
      <c r="BM6" s="314">
        <v>2.6854820799999998E-2</v>
      </c>
      <c r="BN6" s="26" t="s">
        <v>639</v>
      </c>
      <c r="BP6" s="35">
        <v>3.8628E-3</v>
      </c>
      <c r="BQ6" s="8">
        <v>5.6557055999999998E-3</v>
      </c>
      <c r="BR6" s="314">
        <v>5.6951056E-3</v>
      </c>
      <c r="BS6" s="26" t="s">
        <v>639</v>
      </c>
      <c r="BU6" s="35">
        <v>0.50176832360000001</v>
      </c>
      <c r="BV6" s="8">
        <v>0.13472001</v>
      </c>
      <c r="BW6" s="22"/>
      <c r="BX6" s="26" t="s">
        <v>639</v>
      </c>
    </row>
    <row r="7" spans="1:79" x14ac:dyDescent="0.25">
      <c r="A7" s="19"/>
      <c r="B7" s="8"/>
      <c r="C7" s="34"/>
      <c r="D7" s="13"/>
      <c r="E7" s="33"/>
      <c r="F7" s="26" t="s">
        <v>640</v>
      </c>
      <c r="H7" s="20"/>
      <c r="I7" s="21"/>
      <c r="J7" s="79"/>
      <c r="K7" s="26" t="s">
        <v>640</v>
      </c>
      <c r="M7" s="35"/>
      <c r="N7" s="21"/>
      <c r="O7" s="22"/>
      <c r="P7" s="26" t="s">
        <v>640</v>
      </c>
      <c r="Q7" s="55"/>
      <c r="R7" s="35"/>
      <c r="S7" s="21"/>
      <c r="T7" s="22"/>
      <c r="U7" s="26" t="s">
        <v>640</v>
      </c>
      <c r="W7" s="35"/>
      <c r="X7" s="21"/>
      <c r="Y7" s="22"/>
      <c r="Z7" s="26" t="s">
        <v>640</v>
      </c>
      <c r="AB7" s="35"/>
      <c r="AC7" s="21"/>
      <c r="AD7" s="22"/>
      <c r="AE7" s="26" t="s">
        <v>640</v>
      </c>
      <c r="AG7" s="35"/>
      <c r="AH7" s="21"/>
      <c r="AI7" s="22"/>
      <c r="AJ7" s="26" t="s">
        <v>640</v>
      </c>
      <c r="AL7" s="35"/>
      <c r="AM7" s="8"/>
      <c r="AN7" s="22"/>
      <c r="AO7" s="26" t="s">
        <v>640</v>
      </c>
      <c r="AQ7" s="35"/>
      <c r="AR7" s="8"/>
      <c r="AS7" s="22"/>
      <c r="AT7" s="26" t="s">
        <v>640</v>
      </c>
      <c r="AV7" s="35"/>
      <c r="AW7" s="8"/>
      <c r="AX7" s="22"/>
      <c r="AY7" s="26" t="s">
        <v>640</v>
      </c>
      <c r="BA7" s="35"/>
      <c r="BB7" s="21"/>
      <c r="BC7" s="22"/>
      <c r="BD7" s="26" t="s">
        <v>640</v>
      </c>
      <c r="BF7" s="35"/>
      <c r="BG7" s="21"/>
      <c r="BH7" s="22"/>
      <c r="BI7" s="26" t="s">
        <v>640</v>
      </c>
      <c r="BK7" s="35"/>
      <c r="BL7" s="21"/>
      <c r="BM7" s="22"/>
      <c r="BN7" s="26" t="s">
        <v>640</v>
      </c>
      <c r="BP7" s="35"/>
      <c r="BQ7" s="21"/>
      <c r="BR7" s="22"/>
      <c r="BS7" s="26" t="s">
        <v>640</v>
      </c>
      <c r="BU7" s="35"/>
      <c r="BV7" s="21"/>
      <c r="BW7" s="22"/>
      <c r="BX7" s="26" t="s">
        <v>640</v>
      </c>
    </row>
    <row r="8" spans="1:79" x14ac:dyDescent="0.25">
      <c r="A8" s="25"/>
      <c r="C8" s="26" t="s">
        <v>2</v>
      </c>
      <c r="D8" s="26" t="s">
        <v>3</v>
      </c>
      <c r="E8" s="26" t="s">
        <v>4</v>
      </c>
      <c r="F8" s="26" t="s">
        <v>4</v>
      </c>
      <c r="H8" s="26" t="s">
        <v>2</v>
      </c>
      <c r="I8" s="26" t="s">
        <v>3</v>
      </c>
      <c r="J8" s="26" t="s">
        <v>4</v>
      </c>
      <c r="K8" s="26" t="s">
        <v>4</v>
      </c>
      <c r="M8" s="26" t="s">
        <v>2</v>
      </c>
      <c r="N8" s="26" t="s">
        <v>3</v>
      </c>
      <c r="O8" s="26" t="s">
        <v>4</v>
      </c>
      <c r="P8" s="26" t="s">
        <v>4</v>
      </c>
      <c r="Q8" s="61"/>
      <c r="R8" s="26" t="s">
        <v>2</v>
      </c>
      <c r="S8" s="26" t="s">
        <v>3</v>
      </c>
      <c r="T8" s="26" t="s">
        <v>4</v>
      </c>
      <c r="U8" s="26" t="s">
        <v>4</v>
      </c>
      <c r="W8" s="26" t="s">
        <v>2</v>
      </c>
      <c r="X8" s="26" t="s">
        <v>3</v>
      </c>
      <c r="Y8" s="26" t="s">
        <v>4</v>
      </c>
      <c r="Z8" s="26" t="s">
        <v>4</v>
      </c>
      <c r="AB8" s="26" t="s">
        <v>2</v>
      </c>
      <c r="AC8" s="26" t="s">
        <v>3</v>
      </c>
      <c r="AD8" s="26" t="s">
        <v>4</v>
      </c>
      <c r="AE8" s="26" t="s">
        <v>4</v>
      </c>
      <c r="AG8" s="26" t="s">
        <v>2</v>
      </c>
      <c r="AH8" s="26" t="s">
        <v>3</v>
      </c>
      <c r="AI8" s="26" t="s">
        <v>4</v>
      </c>
      <c r="AJ8" s="26" t="s">
        <v>4</v>
      </c>
      <c r="AL8" s="26" t="s">
        <v>2</v>
      </c>
      <c r="AM8" s="26" t="s">
        <v>3</v>
      </c>
      <c r="AN8" s="26" t="s">
        <v>4</v>
      </c>
      <c r="AO8" s="26" t="s">
        <v>4</v>
      </c>
      <c r="AQ8" s="26" t="s">
        <v>2</v>
      </c>
      <c r="AR8" s="26" t="s">
        <v>3</v>
      </c>
      <c r="AS8" s="26" t="s">
        <v>4</v>
      </c>
      <c r="AT8" s="26" t="s">
        <v>4</v>
      </c>
      <c r="AV8" s="26" t="s">
        <v>2</v>
      </c>
      <c r="AW8" s="26" t="s">
        <v>3</v>
      </c>
      <c r="AX8" s="26" t="s">
        <v>4</v>
      </c>
      <c r="AY8" s="26" t="s">
        <v>4</v>
      </c>
      <c r="BA8" s="26" t="s">
        <v>2</v>
      </c>
      <c r="BB8" s="26" t="s">
        <v>3</v>
      </c>
      <c r="BC8" s="26" t="s">
        <v>4</v>
      </c>
      <c r="BD8" s="26" t="s">
        <v>4</v>
      </c>
      <c r="BF8" s="26" t="s">
        <v>2</v>
      </c>
      <c r="BG8" s="26" t="s">
        <v>3</v>
      </c>
      <c r="BH8" s="26" t="s">
        <v>4</v>
      </c>
      <c r="BI8" s="26" t="s">
        <v>4</v>
      </c>
      <c r="BK8" s="26" t="s">
        <v>2</v>
      </c>
      <c r="BL8" s="26" t="s">
        <v>3</v>
      </c>
      <c r="BM8" s="26" t="s">
        <v>4</v>
      </c>
      <c r="BN8" s="26" t="s">
        <v>4</v>
      </c>
      <c r="BP8" s="26" t="s">
        <v>2</v>
      </c>
      <c r="BQ8" s="26" t="s">
        <v>3</v>
      </c>
      <c r="BR8" s="26" t="s">
        <v>4</v>
      </c>
      <c r="BS8" s="26" t="s">
        <v>4</v>
      </c>
      <c r="BU8" s="26" t="s">
        <v>2</v>
      </c>
      <c r="BV8" s="26" t="s">
        <v>3</v>
      </c>
      <c r="BW8" s="26" t="s">
        <v>4</v>
      </c>
      <c r="BX8" s="26" t="s">
        <v>4</v>
      </c>
    </row>
    <row r="9" spans="1:79" x14ac:dyDescent="0.25">
      <c r="A9" s="29">
        <v>45200</v>
      </c>
      <c r="D9" s="3">
        <v>482875</v>
      </c>
      <c r="E9" s="3">
        <f t="shared" ref="E9:E26" si="0">C9+D9</f>
        <v>482875</v>
      </c>
      <c r="F9" s="3">
        <f>129308-7</f>
        <v>129301</v>
      </c>
      <c r="I9" s="5">
        <f>N9+S9+X9+AC9+AM9+AR9+AW9+BB9+BG9+BL9+BQ9+BV9+AH9</f>
        <v>482874.99999999994</v>
      </c>
      <c r="J9" s="5">
        <f>H9+I9</f>
        <v>482874.99999999994</v>
      </c>
      <c r="K9" s="5">
        <f>P9+U9+Z9+AE9+AO9+AT9+AY9+BD9+BI9+BN9+BS9+BX9+AJ9</f>
        <v>129300.99999999999</v>
      </c>
      <c r="N9" s="5">
        <f>$D$9*O6</f>
        <v>205358.14522224996</v>
      </c>
      <c r="O9" s="5">
        <f>M9+N9</f>
        <v>205358.14522224996</v>
      </c>
      <c r="P9" s="5">
        <f>O$6*$F9</f>
        <v>54989.414518005993</v>
      </c>
      <c r="S9" s="5">
        <f>$D$9*T6</f>
        <v>104560.28340109999</v>
      </c>
      <c r="T9" s="5">
        <f>R9+S9</f>
        <v>104560.28340109999</v>
      </c>
      <c r="U9" s="5">
        <f>T$6*$F9</f>
        <v>27998.4451546376</v>
      </c>
      <c r="X9" s="5">
        <f>$D$9*Y6</f>
        <v>17912.552722549997</v>
      </c>
      <c r="Y9" s="5">
        <f>W9+X9</f>
        <v>17912.552722549997</v>
      </c>
      <c r="Z9" s="5">
        <f>Y$6*$F9</f>
        <v>4796.5021580707989</v>
      </c>
      <c r="AC9" s="5">
        <f>$D$9*AD6</f>
        <v>9517.8710923999988</v>
      </c>
      <c r="AD9" s="5">
        <f>AB9+AC9</f>
        <v>9517.8710923999988</v>
      </c>
      <c r="AE9" s="5">
        <f>AD$6*$F9</f>
        <v>2548.6311159583997</v>
      </c>
      <c r="AH9" s="5">
        <f>$D$9*AI6</f>
        <v>4175.2872377999993</v>
      </c>
      <c r="AI9" s="5">
        <f>AG9+AH9</f>
        <v>4175.2872377999993</v>
      </c>
      <c r="AJ9" s="5">
        <f>AI$6*$F9</f>
        <v>1118.0301633647998</v>
      </c>
      <c r="AM9" s="5">
        <f>$D$9*AN6</f>
        <v>26543.830547949994</v>
      </c>
      <c r="AN9" s="5">
        <f>AL9+AM9</f>
        <v>26543.830547949994</v>
      </c>
      <c r="AO9" s="5">
        <f>AN$6*$F9</f>
        <v>7107.7273283571985</v>
      </c>
      <c r="AR9" s="5">
        <f>$D$9*AS6</f>
        <v>35888.037964399991</v>
      </c>
      <c r="AS9" s="5">
        <f>AQ9+AR9</f>
        <v>35888.037964399991</v>
      </c>
      <c r="AT9" s="5">
        <f>AS$6*$F9</f>
        <v>9609.8559603103986</v>
      </c>
      <c r="AW9" s="5">
        <f>$D$9*AX6</f>
        <v>15942.299106549999</v>
      </c>
      <c r="AX9" s="5">
        <f>AV9+AW9</f>
        <v>15942.299106549999</v>
      </c>
      <c r="AY9" s="5">
        <f>AX$6*$F9</f>
        <v>4268.9209770148</v>
      </c>
      <c r="BB9" s="5">
        <f>$D$9*BC6</f>
        <v>30183.410079949994</v>
      </c>
      <c r="BC9" s="5">
        <f>BA9+BB9</f>
        <v>30183.410079949994</v>
      </c>
      <c r="BD9" s="5">
        <f>BC$6*$F9</f>
        <v>8082.3093072691981</v>
      </c>
      <c r="BG9" s="5">
        <f>$D$9*BH6</f>
        <v>17075.736914649999</v>
      </c>
      <c r="BH9" s="5">
        <f>BF9+BG9</f>
        <v>17075.736914649999</v>
      </c>
      <c r="BI9" s="5">
        <f>BH$6*$F9</f>
        <v>4572.4252835643993</v>
      </c>
      <c r="BL9" s="5">
        <f>$D$9*BM6</f>
        <v>12967.521593799998</v>
      </c>
      <c r="BM9" s="5">
        <f>BK9+BL9</f>
        <v>12967.521593799998</v>
      </c>
      <c r="BN9" s="5">
        <f>BM$6*$F9</f>
        <v>3472.3551842607999</v>
      </c>
      <c r="BQ9" s="5">
        <f>$D$9*BR6</f>
        <v>2750.0241166000001</v>
      </c>
      <c r="BR9" s="5">
        <f>BP9+BQ9</f>
        <v>2750.0241166000001</v>
      </c>
      <c r="BS9" s="5">
        <f>BR$6*$F9</f>
        <v>736.38284918559998</v>
      </c>
      <c r="BV9" s="5">
        <f>$D$9*BW6</f>
        <v>0</v>
      </c>
      <c r="BW9" s="5">
        <f>BU9+BV9</f>
        <v>0</v>
      </c>
      <c r="BX9" s="5">
        <f>BW$6*$F9</f>
        <v>0</v>
      </c>
    </row>
    <row r="10" spans="1:79" x14ac:dyDescent="0.25">
      <c r="A10" s="29">
        <v>45383</v>
      </c>
      <c r="C10" s="3">
        <v>1750000</v>
      </c>
      <c r="D10" s="3">
        <v>482875</v>
      </c>
      <c r="E10" s="3">
        <f t="shared" si="0"/>
        <v>2232875</v>
      </c>
      <c r="F10" s="3">
        <v>129308</v>
      </c>
      <c r="H10" s="5">
        <f>M10+R10+W10+AB10+AL10+AQ10+AV10+BA10+BF10+BK10+BP10+BU10+AG10</f>
        <v>1749999.9999999995</v>
      </c>
      <c r="I10" s="5">
        <f>N10+S10+X10+AC10+AM10+AR10+AW10+BB10+BG10+BL10+BQ10+BV10+AH10</f>
        <v>482874.99999999994</v>
      </c>
      <c r="J10" s="5">
        <f>H10+I10</f>
        <v>2232874.9999999995</v>
      </c>
      <c r="K10" s="5">
        <f>P10+U10+Z10+AE10+AO10+AT10+AY10+BD10+BI10+BN10+BS10+BX10+AJ10</f>
        <v>129307.99999999999</v>
      </c>
      <c r="M10" s="5">
        <f>C10*$O$6</f>
        <v>744243.86049999995</v>
      </c>
      <c r="N10" s="5">
        <f>D10*$O$6</f>
        <v>205358.14522224996</v>
      </c>
      <c r="O10" s="5">
        <f>M10+N10</f>
        <v>949602.00572224986</v>
      </c>
      <c r="P10" s="5">
        <f t="shared" ref="P10:P26" si="1">O$6*$F10</f>
        <v>54992.391493447991</v>
      </c>
      <c r="R10" s="5">
        <f>C10*$T$6</f>
        <v>378939.67579999997</v>
      </c>
      <c r="S10" s="5">
        <f>D10*$T$6</f>
        <v>104560.28340109999</v>
      </c>
      <c r="T10" s="5">
        <f>R10+S10</f>
        <v>483499.95920109993</v>
      </c>
      <c r="U10" s="5">
        <f t="shared" ref="U10:U26" si="2">T$6*$F10</f>
        <v>27999.960913340801</v>
      </c>
      <c r="W10" s="5">
        <f>C10*$Y$6</f>
        <v>64917.353899999987</v>
      </c>
      <c r="X10" s="5">
        <f>D10*$Y$6</f>
        <v>17912.552722549997</v>
      </c>
      <c r="Y10" s="5">
        <f>W10+X10</f>
        <v>82829.906622549985</v>
      </c>
      <c r="Z10" s="5">
        <f t="shared" ref="Z10:Z26" si="3">Y$6*$F10</f>
        <v>4796.7618274863989</v>
      </c>
      <c r="AB10" s="5">
        <f>C10*$AD$6</f>
        <v>34493.967199999992</v>
      </c>
      <c r="AC10" s="5">
        <f>D10*$AD$6</f>
        <v>9517.8710923999988</v>
      </c>
      <c r="AD10" s="5">
        <f>AB10+AC10</f>
        <v>44011.838292399989</v>
      </c>
      <c r="AE10" s="5">
        <f t="shared" ref="AE10:AE26" si="4">AD$6*$F10</f>
        <v>2548.7690918271996</v>
      </c>
      <c r="AG10" s="5">
        <f>C10*$AI$6</f>
        <v>15131.768399999997</v>
      </c>
      <c r="AH10" s="5">
        <f>D10*$AI$6</f>
        <v>4175.2872377999993</v>
      </c>
      <c r="AI10" s="5">
        <f>AG10+AH10</f>
        <v>19307.055637799996</v>
      </c>
      <c r="AJ10" s="5">
        <f t="shared" ref="AJ10:AJ26" si="5">AI$6*$F10</f>
        <v>1118.0906904383999</v>
      </c>
      <c r="AL10" s="5">
        <f>C10*$AN$6</f>
        <v>96198.195099999983</v>
      </c>
      <c r="AM10" s="5">
        <f>D10*$AN$6</f>
        <v>26543.830547949994</v>
      </c>
      <c r="AN10" s="5">
        <f>AL10+AM10</f>
        <v>122742.02564794998</v>
      </c>
      <c r="AO10" s="5">
        <f t="shared" ref="AO10:AO26" si="6">AN$6*$F10</f>
        <v>7108.1121211375985</v>
      </c>
      <c r="AQ10" s="5">
        <f>C10*$AS$6</f>
        <v>130062.78319999998</v>
      </c>
      <c r="AR10" s="5">
        <f>D10*$AS$6</f>
        <v>35888.037964399991</v>
      </c>
      <c r="AS10" s="5">
        <f>AQ10+AR10</f>
        <v>165950.82116439997</v>
      </c>
      <c r="AT10" s="5">
        <f t="shared" ref="AT10:AT26" si="7">AS$6*$F10</f>
        <v>9610.3762114431975</v>
      </c>
      <c r="AV10" s="5">
        <f>C10*$AX$6</f>
        <v>57776.905899999998</v>
      </c>
      <c r="AW10" s="5">
        <f>D10*$AX$6</f>
        <v>15942.299106549999</v>
      </c>
      <c r="AX10" s="5">
        <f>AV10+AW10</f>
        <v>73719.205006549993</v>
      </c>
      <c r="AY10" s="5">
        <f t="shared" ref="AY10:AY26" si="8">AX$6*$F10</f>
        <v>4269.1520846383992</v>
      </c>
      <c r="BA10" s="5">
        <f>C10*$BC$6</f>
        <v>109388.49109999997</v>
      </c>
      <c r="BB10" s="5">
        <f>D10*$BC$6</f>
        <v>30183.410079949994</v>
      </c>
      <c r="BC10" s="5">
        <f>BA10+BB10</f>
        <v>139571.90117994996</v>
      </c>
      <c r="BD10" s="5">
        <f t="shared" ref="BD10:BD26" si="9">BC$6*$F10</f>
        <v>8082.7468612335979</v>
      </c>
      <c r="BF10" s="5">
        <f>C10*$BH$6</f>
        <v>61884.627699999997</v>
      </c>
      <c r="BG10" s="5">
        <f>D10*$BH$6</f>
        <v>17075.736914649999</v>
      </c>
      <c r="BH10" s="5">
        <f>BF10+BG10</f>
        <v>78960.364614649996</v>
      </c>
      <c r="BI10" s="5">
        <f t="shared" ref="BI10:BI26" si="10">BH$6*$F10</f>
        <v>4572.6728220751993</v>
      </c>
      <c r="BK10" s="5">
        <f>C10*$BM$6</f>
        <v>46995.936399999999</v>
      </c>
      <c r="BL10" s="5">
        <f>D10*$BM$6</f>
        <v>12967.521593799998</v>
      </c>
      <c r="BM10" s="5">
        <f>BK10+BL10</f>
        <v>59963.457993799995</v>
      </c>
      <c r="BN10" s="5">
        <f t="shared" ref="BN10:BN26" si="11">BM$6*$F10</f>
        <v>3472.5431680063998</v>
      </c>
      <c r="BP10" s="5">
        <f>C10*$BR$6</f>
        <v>9966.4347999999991</v>
      </c>
      <c r="BQ10" s="5">
        <f>D10*$BR$6</f>
        <v>2750.0241166000001</v>
      </c>
      <c r="BR10" s="5">
        <f>BP10+BQ10</f>
        <v>12716.458916599999</v>
      </c>
      <c r="BS10" s="5">
        <f t="shared" ref="BS10:BS26" si="12">BR$6*$F10</f>
        <v>736.42271492479995</v>
      </c>
      <c r="BX10" s="5">
        <f t="shared" ref="BX10:BX26" si="13">BW$6*$F10</f>
        <v>0</v>
      </c>
    </row>
    <row r="11" spans="1:79" x14ac:dyDescent="0.25">
      <c r="A11" s="29">
        <v>45566</v>
      </c>
      <c r="D11" s="3">
        <v>439125</v>
      </c>
      <c r="E11" s="3">
        <f t="shared" si="0"/>
        <v>439125</v>
      </c>
      <c r="F11" s="3">
        <v>129308</v>
      </c>
      <c r="I11" s="5">
        <f t="shared" ref="I11:K26" si="14">N11+S11+X11+AC11+AM11+AR11+AW11+BB11+BG11+BL11+BQ11+BV11+AH11</f>
        <v>439124.99999999994</v>
      </c>
      <c r="J11" s="5">
        <f t="shared" ref="J11:J26" si="15">H11+I11</f>
        <v>439124.99999999994</v>
      </c>
      <c r="K11" s="5">
        <f t="shared" si="14"/>
        <v>129307.99999999999</v>
      </c>
      <c r="M11" s="5">
        <f t="shared" ref="M11:M26" si="16">C11*$O$6</f>
        <v>0</v>
      </c>
      <c r="N11" s="5">
        <f>D11*$O$6</f>
        <v>186752.04870974997</v>
      </c>
      <c r="O11" s="5">
        <f t="shared" ref="O11:O26" si="17">M11+N11</f>
        <v>186752.04870974997</v>
      </c>
      <c r="P11" s="5">
        <f t="shared" si="1"/>
        <v>54992.391493447991</v>
      </c>
      <c r="R11" s="5">
        <f t="shared" ref="R11:R26" si="18">C11*$T$6</f>
        <v>0</v>
      </c>
      <c r="S11" s="5">
        <f t="shared" ref="S11:S26" si="19">D11*$T$6</f>
        <v>95086.791506099995</v>
      </c>
      <c r="T11" s="5">
        <f t="shared" ref="T11:T26" si="20">R11+S11</f>
        <v>95086.791506099995</v>
      </c>
      <c r="U11" s="5">
        <f t="shared" si="2"/>
        <v>27999.960913340801</v>
      </c>
      <c r="W11" s="5">
        <f t="shared" ref="W11:W26" si="21">C11*$Y$6</f>
        <v>0</v>
      </c>
      <c r="X11" s="5">
        <f t="shared" ref="X11:X26" si="22">D11*$Y$6</f>
        <v>16289.618875049997</v>
      </c>
      <c r="Y11" s="5">
        <f t="shared" ref="Y11:Y26" si="23">W11+X11</f>
        <v>16289.618875049997</v>
      </c>
      <c r="Z11" s="5">
        <f t="shared" si="3"/>
        <v>4796.7618274863989</v>
      </c>
      <c r="AC11" s="5">
        <f t="shared" ref="AC11:AC26" si="24">D11*$AD$6</f>
        <v>8655.5219123999977</v>
      </c>
      <c r="AD11" s="5">
        <f t="shared" ref="AD11:AD26" si="25">AB11+AC11</f>
        <v>8655.5219123999977</v>
      </c>
      <c r="AE11" s="5">
        <f t="shared" si="4"/>
        <v>2548.7690918271996</v>
      </c>
      <c r="AH11" s="5">
        <f t="shared" ref="AH11:AH26" si="26">D11*$AI$6</f>
        <v>3796.9930277999993</v>
      </c>
      <c r="AI11" s="5">
        <f t="shared" ref="AI11:AI26" si="27">AG11+AH11</f>
        <v>3796.9930277999993</v>
      </c>
      <c r="AJ11" s="5">
        <f t="shared" si="5"/>
        <v>1118.0906904383999</v>
      </c>
      <c r="AM11" s="5">
        <f t="shared" ref="AM11:AM26" si="28">D11*$AN$6</f>
        <v>24138.875670449994</v>
      </c>
      <c r="AN11" s="5">
        <f t="shared" ref="AN11:AN26" si="29">AL11+AM11</f>
        <v>24138.875670449994</v>
      </c>
      <c r="AO11" s="5">
        <f t="shared" si="6"/>
        <v>7108.1121211375985</v>
      </c>
      <c r="AR11" s="5">
        <f>D11*$AS$6</f>
        <v>32636.468384399992</v>
      </c>
      <c r="AS11" s="5">
        <f>AQ11+AR11</f>
        <v>32636.468384399992</v>
      </c>
      <c r="AT11" s="5">
        <f t="shared" si="7"/>
        <v>9610.3762114431975</v>
      </c>
      <c r="AW11" s="5">
        <f t="shared" ref="AW11:AW26" si="30">D11*$AX$6</f>
        <v>14497.87645905</v>
      </c>
      <c r="AX11" s="5">
        <f t="shared" ref="AX11:AX26" si="31">AV11+AW11</f>
        <v>14497.87645905</v>
      </c>
      <c r="AY11" s="5">
        <f t="shared" si="8"/>
        <v>4269.1520846383992</v>
      </c>
      <c r="BB11" s="5">
        <f t="shared" ref="BB11:BB26" si="32">D11*$BC$6</f>
        <v>27448.697802449991</v>
      </c>
      <c r="BC11" s="5">
        <f t="shared" ref="BC11:BC26" si="33">BA11+BB11</f>
        <v>27448.697802449991</v>
      </c>
      <c r="BD11" s="5">
        <f t="shared" si="9"/>
        <v>8082.7468612335979</v>
      </c>
      <c r="BG11" s="5">
        <f t="shared" ref="BG11:BG26" si="34">D11*$BH$6</f>
        <v>15528.621222149999</v>
      </c>
      <c r="BH11" s="5">
        <f t="shared" ref="BH11:BH26" si="35">BF11+BG11</f>
        <v>15528.621222149999</v>
      </c>
      <c r="BI11" s="5">
        <f t="shared" si="10"/>
        <v>4572.6728220751993</v>
      </c>
      <c r="BL11" s="5">
        <f t="shared" ref="BL11:BL26" si="36">D11*$BM$6</f>
        <v>11792.623183799999</v>
      </c>
      <c r="BM11" s="5">
        <f t="shared" ref="BM11:BM26" si="37">BK11+BL11</f>
        <v>11792.623183799999</v>
      </c>
      <c r="BN11" s="5">
        <f t="shared" si="11"/>
        <v>3472.5431680063998</v>
      </c>
      <c r="BP11" s="5">
        <f t="shared" ref="BP11:BP26" si="38">C11*$BR$6</f>
        <v>0</v>
      </c>
      <c r="BQ11" s="5">
        <f t="shared" ref="BQ11:BQ26" si="39">D11*$BR$6</f>
        <v>2500.8632465999999</v>
      </c>
      <c r="BR11" s="5">
        <f t="shared" ref="BR11:BR26" si="40">BP11+BQ11</f>
        <v>2500.8632465999999</v>
      </c>
      <c r="BS11" s="5">
        <f t="shared" si="12"/>
        <v>736.42271492479995</v>
      </c>
      <c r="BX11" s="5">
        <f t="shared" si="13"/>
        <v>0</v>
      </c>
    </row>
    <row r="12" spans="1:79" x14ac:dyDescent="0.25">
      <c r="A12" s="29">
        <v>45748</v>
      </c>
      <c r="C12" s="3">
        <v>1840000</v>
      </c>
      <c r="D12" s="3">
        <v>439125</v>
      </c>
      <c r="E12" s="3">
        <f t="shared" si="0"/>
        <v>2279125</v>
      </c>
      <c r="F12" s="3">
        <v>129308</v>
      </c>
      <c r="H12" s="5">
        <f>M12+R12+W12+AB12+AL12+AQ12+AV12+BA12+BF12+BK12+BP12+BU12+AG12</f>
        <v>1839999.9999999998</v>
      </c>
      <c r="I12" s="5">
        <f t="shared" si="14"/>
        <v>439124.99999999994</v>
      </c>
      <c r="J12" s="5">
        <f t="shared" si="15"/>
        <v>2279124.9999999995</v>
      </c>
      <c r="K12" s="5">
        <f t="shared" si="14"/>
        <v>129307.99999999999</v>
      </c>
      <c r="M12" s="5">
        <f>C12*$O$6</f>
        <v>782519.25903999992</v>
      </c>
      <c r="N12" s="5">
        <f t="shared" ref="N12:N26" si="41">D12*$O$6</f>
        <v>186752.04870974997</v>
      </c>
      <c r="O12" s="5">
        <f t="shared" si="17"/>
        <v>969271.30774974986</v>
      </c>
      <c r="P12" s="5">
        <f t="shared" si="1"/>
        <v>54992.391493447991</v>
      </c>
      <c r="R12" s="5">
        <f t="shared" si="18"/>
        <v>398428.00198399997</v>
      </c>
      <c r="S12" s="5">
        <f t="shared" si="19"/>
        <v>95086.791506099995</v>
      </c>
      <c r="T12" s="5">
        <f t="shared" si="20"/>
        <v>493514.79349009995</v>
      </c>
      <c r="U12" s="5">
        <f t="shared" si="2"/>
        <v>27999.960913340801</v>
      </c>
      <c r="W12" s="5">
        <f t="shared" si="21"/>
        <v>68255.960671999987</v>
      </c>
      <c r="X12" s="5">
        <f t="shared" si="22"/>
        <v>16289.618875049997</v>
      </c>
      <c r="Y12" s="5">
        <f t="shared" si="23"/>
        <v>84545.579547049987</v>
      </c>
      <c r="Z12" s="5">
        <f t="shared" si="3"/>
        <v>4796.7618274863989</v>
      </c>
      <c r="AB12" s="5">
        <f t="shared" ref="AB12:AB26" si="42">C12*$AD$6</f>
        <v>36267.942655999992</v>
      </c>
      <c r="AC12" s="5">
        <f t="shared" si="24"/>
        <v>8655.5219123999977</v>
      </c>
      <c r="AD12" s="5">
        <f t="shared" si="25"/>
        <v>44923.464568399992</v>
      </c>
      <c r="AE12" s="5">
        <f t="shared" si="4"/>
        <v>2548.7690918271996</v>
      </c>
      <c r="AG12" s="5">
        <f t="shared" ref="AG12:AG26" si="43">C12*$AI$6</f>
        <v>15909.973631999997</v>
      </c>
      <c r="AH12" s="5">
        <f t="shared" si="26"/>
        <v>3796.9930277999993</v>
      </c>
      <c r="AI12" s="5">
        <f t="shared" si="27"/>
        <v>19706.966659799997</v>
      </c>
      <c r="AJ12" s="5">
        <f t="shared" si="5"/>
        <v>1118.0906904383999</v>
      </c>
      <c r="AL12" s="5">
        <f t="shared" ref="AL12:AL26" si="44">C12*$AN$6</f>
        <v>101145.53084799998</v>
      </c>
      <c r="AM12" s="5">
        <f t="shared" si="28"/>
        <v>24138.875670449994</v>
      </c>
      <c r="AN12" s="5">
        <f t="shared" si="29"/>
        <v>125284.40651844998</v>
      </c>
      <c r="AO12" s="5">
        <f t="shared" si="6"/>
        <v>7108.1121211375985</v>
      </c>
      <c r="AQ12" s="5">
        <f t="shared" ref="AQ12:AQ26" si="45">C12*$AS$6</f>
        <v>136751.72633599996</v>
      </c>
      <c r="AR12" s="5">
        <f t="shared" ref="AR12:AR26" si="46">D12*$AS$6</f>
        <v>32636.468384399992</v>
      </c>
      <c r="AS12" s="5">
        <f t="shared" ref="AS12:AS26" si="47">AQ12+AR12</f>
        <v>169388.19472039994</v>
      </c>
      <c r="AT12" s="5">
        <f t="shared" si="7"/>
        <v>9610.3762114431975</v>
      </c>
      <c r="AV12" s="5">
        <f t="shared" ref="AV12:AV26" si="48">C12*$AX$6</f>
        <v>60748.289631999993</v>
      </c>
      <c r="AW12" s="5">
        <f t="shared" si="30"/>
        <v>14497.87645905</v>
      </c>
      <c r="AX12" s="5">
        <f t="shared" si="31"/>
        <v>75246.166091049992</v>
      </c>
      <c r="AY12" s="5">
        <f t="shared" si="8"/>
        <v>4269.1520846383992</v>
      </c>
      <c r="BA12" s="5">
        <f t="shared" ref="BA12:BA26" si="49">C12*$BC$6</f>
        <v>115014.18492799997</v>
      </c>
      <c r="BB12" s="5">
        <f t="shared" si="32"/>
        <v>27448.697802449991</v>
      </c>
      <c r="BC12" s="5">
        <f t="shared" si="33"/>
        <v>142462.88273044996</v>
      </c>
      <c r="BD12" s="5">
        <f t="shared" si="9"/>
        <v>8082.7468612335979</v>
      </c>
      <c r="BF12" s="5">
        <f t="shared" ref="BF12:BF26" si="50">C12*$BH$6</f>
        <v>65067.265695999995</v>
      </c>
      <c r="BG12" s="5">
        <f t="shared" si="34"/>
        <v>15528.621222149999</v>
      </c>
      <c r="BH12" s="5">
        <f t="shared" si="35"/>
        <v>80595.88691814999</v>
      </c>
      <c r="BI12" s="5">
        <f t="shared" si="10"/>
        <v>4572.6728220751993</v>
      </c>
      <c r="BK12" s="5">
        <f t="shared" ref="BK12:BK26" si="51">C12*$BM$6</f>
        <v>49412.870272</v>
      </c>
      <c r="BL12" s="5">
        <f t="shared" si="36"/>
        <v>11792.623183799999</v>
      </c>
      <c r="BM12" s="5">
        <f t="shared" si="37"/>
        <v>61205.493455799995</v>
      </c>
      <c r="BN12" s="5">
        <f t="shared" si="11"/>
        <v>3472.5431680063998</v>
      </c>
      <c r="BP12" s="5">
        <f t="shared" si="38"/>
        <v>10478.994304</v>
      </c>
      <c r="BQ12" s="5">
        <f t="shared" si="39"/>
        <v>2500.8632465999999</v>
      </c>
      <c r="BR12" s="5">
        <f t="shared" si="40"/>
        <v>12979.8575506</v>
      </c>
      <c r="BS12" s="5">
        <f t="shared" si="12"/>
        <v>736.42271492479995</v>
      </c>
      <c r="BX12" s="5">
        <f t="shared" si="13"/>
        <v>0</v>
      </c>
    </row>
    <row r="13" spans="1:79" x14ac:dyDescent="0.25">
      <c r="A13" s="29">
        <v>45931</v>
      </c>
      <c r="D13" s="3">
        <v>393125</v>
      </c>
      <c r="E13" s="3">
        <f t="shared" si="0"/>
        <v>393125</v>
      </c>
      <c r="F13" s="3">
        <v>129308</v>
      </c>
      <c r="I13" s="5">
        <f t="shared" si="14"/>
        <v>393125.00000000006</v>
      </c>
      <c r="J13" s="5">
        <f t="shared" si="15"/>
        <v>393125.00000000006</v>
      </c>
      <c r="K13" s="5">
        <f t="shared" si="14"/>
        <v>129307.99999999999</v>
      </c>
      <c r="M13" s="5">
        <f t="shared" si="16"/>
        <v>0</v>
      </c>
      <c r="N13" s="5">
        <f t="shared" si="41"/>
        <v>167189.06723374999</v>
      </c>
      <c r="O13" s="5">
        <f t="shared" si="17"/>
        <v>167189.06723374999</v>
      </c>
      <c r="P13" s="5">
        <f t="shared" si="1"/>
        <v>54992.391493447991</v>
      </c>
      <c r="R13" s="5">
        <f t="shared" si="18"/>
        <v>0</v>
      </c>
      <c r="S13" s="5">
        <f t="shared" si="19"/>
        <v>85126.091456499998</v>
      </c>
      <c r="T13" s="5">
        <f t="shared" si="20"/>
        <v>85126.091456499998</v>
      </c>
      <c r="U13" s="5">
        <f t="shared" si="2"/>
        <v>27999.960913340801</v>
      </c>
      <c r="W13" s="5">
        <f t="shared" si="21"/>
        <v>0</v>
      </c>
      <c r="X13" s="5">
        <f t="shared" si="22"/>
        <v>14583.219858249999</v>
      </c>
      <c r="Y13" s="5">
        <f t="shared" si="23"/>
        <v>14583.219858249999</v>
      </c>
      <c r="Z13" s="5">
        <f t="shared" si="3"/>
        <v>4796.7618274863989</v>
      </c>
      <c r="AC13" s="5">
        <f t="shared" si="24"/>
        <v>7748.8233459999983</v>
      </c>
      <c r="AD13" s="5">
        <f t="shared" si="25"/>
        <v>7748.8233459999983</v>
      </c>
      <c r="AE13" s="5">
        <f t="shared" si="4"/>
        <v>2548.7690918271996</v>
      </c>
      <c r="AH13" s="5">
        <f t="shared" si="26"/>
        <v>3399.2436869999992</v>
      </c>
      <c r="AI13" s="5">
        <f t="shared" si="27"/>
        <v>3399.2436869999992</v>
      </c>
      <c r="AJ13" s="5">
        <f t="shared" si="5"/>
        <v>1118.0906904383999</v>
      </c>
      <c r="AM13" s="5">
        <f t="shared" si="28"/>
        <v>21610.237399249996</v>
      </c>
      <c r="AN13" s="5">
        <f t="shared" si="29"/>
        <v>21610.237399249996</v>
      </c>
      <c r="AO13" s="5">
        <f t="shared" si="6"/>
        <v>7108.1121211375985</v>
      </c>
      <c r="AR13" s="5">
        <f t="shared" si="46"/>
        <v>29217.675225999992</v>
      </c>
      <c r="AS13" s="5">
        <f t="shared" si="47"/>
        <v>29217.675225999992</v>
      </c>
      <c r="AT13" s="5">
        <f t="shared" si="7"/>
        <v>9610.3762114431975</v>
      </c>
      <c r="AW13" s="5">
        <f t="shared" si="30"/>
        <v>12979.169218249999</v>
      </c>
      <c r="AX13" s="5">
        <f t="shared" si="31"/>
        <v>12979.169218249999</v>
      </c>
      <c r="AY13" s="5">
        <f t="shared" si="8"/>
        <v>4269.1520846383992</v>
      </c>
      <c r="BB13" s="5">
        <f t="shared" si="32"/>
        <v>24573.343179249994</v>
      </c>
      <c r="BC13" s="5">
        <f t="shared" si="33"/>
        <v>24573.343179249994</v>
      </c>
      <c r="BD13" s="5">
        <f t="shared" si="9"/>
        <v>8082.7468612335979</v>
      </c>
      <c r="BG13" s="5">
        <f t="shared" si="34"/>
        <v>13901.939579749998</v>
      </c>
      <c r="BH13" s="5">
        <f t="shared" si="35"/>
        <v>13901.939579749998</v>
      </c>
      <c r="BI13" s="5">
        <f t="shared" si="10"/>
        <v>4572.6728220751993</v>
      </c>
      <c r="BL13" s="5">
        <f t="shared" si="36"/>
        <v>10557.301426999999</v>
      </c>
      <c r="BM13" s="5">
        <f t="shared" si="37"/>
        <v>10557.301426999999</v>
      </c>
      <c r="BN13" s="5">
        <f t="shared" si="11"/>
        <v>3472.5431680063998</v>
      </c>
      <c r="BP13" s="5">
        <f t="shared" si="38"/>
        <v>0</v>
      </c>
      <c r="BQ13" s="5">
        <f t="shared" si="39"/>
        <v>2238.8883890000002</v>
      </c>
      <c r="BR13" s="5">
        <f t="shared" si="40"/>
        <v>2238.8883890000002</v>
      </c>
      <c r="BS13" s="5">
        <f t="shared" si="12"/>
        <v>736.42271492479995</v>
      </c>
      <c r="BX13" s="5">
        <f t="shared" si="13"/>
        <v>0</v>
      </c>
    </row>
    <row r="14" spans="1:79" x14ac:dyDescent="0.25">
      <c r="A14" s="29">
        <v>46113</v>
      </c>
      <c r="C14" s="3">
        <v>1930000</v>
      </c>
      <c r="D14" s="3">
        <v>393125</v>
      </c>
      <c r="E14" s="3">
        <f t="shared" si="0"/>
        <v>2323125</v>
      </c>
      <c r="F14" s="3">
        <v>129308</v>
      </c>
      <c r="H14" s="5">
        <f t="shared" ref="H14:H24" si="52">M14+R14+W14+AB14+AL14+AQ14+AV14+BA14+BF14+BK14+BP14+BU14+AG14</f>
        <v>1929999.9999999995</v>
      </c>
      <c r="I14" s="5">
        <f t="shared" si="14"/>
        <v>393125.00000000006</v>
      </c>
      <c r="J14" s="5">
        <f t="shared" si="15"/>
        <v>2323124.9999999995</v>
      </c>
      <c r="K14" s="5">
        <f t="shared" si="14"/>
        <v>129307.99999999999</v>
      </c>
      <c r="M14" s="5">
        <f t="shared" si="16"/>
        <v>820794.65757999988</v>
      </c>
      <c r="N14" s="5">
        <f t="shared" si="41"/>
        <v>167189.06723374999</v>
      </c>
      <c r="O14" s="5">
        <f t="shared" si="17"/>
        <v>987983.7248137499</v>
      </c>
      <c r="P14" s="5">
        <f t="shared" si="1"/>
        <v>54992.391493447991</v>
      </c>
      <c r="R14" s="5">
        <f t="shared" si="18"/>
        <v>417916.32816799998</v>
      </c>
      <c r="S14" s="5">
        <f t="shared" si="19"/>
        <v>85126.091456499998</v>
      </c>
      <c r="T14" s="5">
        <f t="shared" si="20"/>
        <v>503042.41962449998</v>
      </c>
      <c r="U14" s="5">
        <f t="shared" si="2"/>
        <v>27999.960913340801</v>
      </c>
      <c r="W14" s="5">
        <f t="shared" si="21"/>
        <v>71594.567443999986</v>
      </c>
      <c r="X14" s="5">
        <f t="shared" si="22"/>
        <v>14583.219858249999</v>
      </c>
      <c r="Y14" s="5">
        <f t="shared" si="23"/>
        <v>86177.787302249984</v>
      </c>
      <c r="Z14" s="5">
        <f t="shared" si="3"/>
        <v>4796.7618274863989</v>
      </c>
      <c r="AB14" s="5">
        <f t="shared" si="42"/>
        <v>38041.918111999992</v>
      </c>
      <c r="AC14" s="5">
        <f t="shared" si="24"/>
        <v>7748.8233459999983</v>
      </c>
      <c r="AD14" s="5">
        <f t="shared" si="25"/>
        <v>45790.74145799999</v>
      </c>
      <c r="AE14" s="5">
        <f t="shared" si="4"/>
        <v>2548.7690918271996</v>
      </c>
      <c r="AG14" s="5">
        <f t="shared" si="43"/>
        <v>16688.178863999998</v>
      </c>
      <c r="AH14" s="5">
        <f t="shared" si="26"/>
        <v>3399.2436869999992</v>
      </c>
      <c r="AI14" s="5">
        <f t="shared" si="27"/>
        <v>20087.422550999996</v>
      </c>
      <c r="AJ14" s="5">
        <f t="shared" si="5"/>
        <v>1118.0906904383999</v>
      </c>
      <c r="AL14" s="5">
        <f t="shared" si="44"/>
        <v>106092.86659599998</v>
      </c>
      <c r="AM14" s="5">
        <f t="shared" si="28"/>
        <v>21610.237399249996</v>
      </c>
      <c r="AN14" s="5">
        <f t="shared" si="29"/>
        <v>127703.10399524997</v>
      </c>
      <c r="AO14" s="5">
        <f t="shared" si="6"/>
        <v>7108.1121211375985</v>
      </c>
      <c r="AQ14" s="5">
        <f t="shared" si="45"/>
        <v>143440.66947199998</v>
      </c>
      <c r="AR14" s="5">
        <f t="shared" si="46"/>
        <v>29217.675225999992</v>
      </c>
      <c r="AS14" s="5">
        <f t="shared" si="47"/>
        <v>172658.34469799997</v>
      </c>
      <c r="AT14" s="5">
        <f t="shared" si="7"/>
        <v>9610.3762114431975</v>
      </c>
      <c r="AV14" s="5">
        <f t="shared" si="48"/>
        <v>63719.673363999995</v>
      </c>
      <c r="AW14" s="5">
        <f t="shared" si="30"/>
        <v>12979.169218249999</v>
      </c>
      <c r="AX14" s="5">
        <f t="shared" si="31"/>
        <v>76698.842582249999</v>
      </c>
      <c r="AY14" s="5">
        <f t="shared" si="8"/>
        <v>4269.1520846383992</v>
      </c>
      <c r="BA14" s="5">
        <f t="shared" si="49"/>
        <v>120639.87875599996</v>
      </c>
      <c r="BB14" s="5">
        <f t="shared" si="32"/>
        <v>24573.343179249994</v>
      </c>
      <c r="BC14" s="5">
        <f t="shared" si="33"/>
        <v>145213.22193524995</v>
      </c>
      <c r="BD14" s="5">
        <f t="shared" si="9"/>
        <v>8082.7468612335979</v>
      </c>
      <c r="BF14" s="5">
        <f t="shared" si="50"/>
        <v>68249.903691999993</v>
      </c>
      <c r="BG14" s="5">
        <f t="shared" si="34"/>
        <v>13901.939579749998</v>
      </c>
      <c r="BH14" s="5">
        <f t="shared" si="35"/>
        <v>82151.843271749996</v>
      </c>
      <c r="BI14" s="5">
        <f t="shared" si="10"/>
        <v>4572.6728220751993</v>
      </c>
      <c r="BK14" s="5">
        <f t="shared" si="51"/>
        <v>51829.804143999994</v>
      </c>
      <c r="BL14" s="5">
        <f t="shared" si="36"/>
        <v>10557.301426999999</v>
      </c>
      <c r="BM14" s="5">
        <f t="shared" si="37"/>
        <v>62387.105570999993</v>
      </c>
      <c r="BN14" s="5">
        <f t="shared" si="11"/>
        <v>3472.5431680063998</v>
      </c>
      <c r="BP14" s="5">
        <f t="shared" si="38"/>
        <v>10991.553808000001</v>
      </c>
      <c r="BQ14" s="5">
        <f t="shared" si="39"/>
        <v>2238.8883890000002</v>
      </c>
      <c r="BR14" s="5">
        <f t="shared" si="40"/>
        <v>13230.442197</v>
      </c>
      <c r="BS14" s="5">
        <f t="shared" si="12"/>
        <v>736.42271492479995</v>
      </c>
      <c r="BX14" s="5">
        <f t="shared" si="13"/>
        <v>0</v>
      </c>
    </row>
    <row r="15" spans="1:79" x14ac:dyDescent="0.25">
      <c r="A15" s="29">
        <v>46296</v>
      </c>
      <c r="D15" s="3">
        <v>344875</v>
      </c>
      <c r="E15" s="3">
        <f t="shared" si="0"/>
        <v>344875</v>
      </c>
      <c r="F15" s="3">
        <v>129308</v>
      </c>
      <c r="I15" s="5">
        <f t="shared" si="14"/>
        <v>344874.99999999994</v>
      </c>
      <c r="J15" s="5">
        <f t="shared" si="15"/>
        <v>344874.99999999994</v>
      </c>
      <c r="K15" s="5">
        <f t="shared" si="14"/>
        <v>129307.99999999999</v>
      </c>
      <c r="M15" s="5">
        <f t="shared" si="16"/>
        <v>0</v>
      </c>
      <c r="N15" s="5">
        <f t="shared" si="41"/>
        <v>146669.20079424998</v>
      </c>
      <c r="O15" s="5">
        <f t="shared" si="17"/>
        <v>146669.20079424998</v>
      </c>
      <c r="P15" s="5">
        <f t="shared" si="1"/>
        <v>54992.391493447991</v>
      </c>
      <c r="R15" s="5">
        <f t="shared" si="18"/>
        <v>0</v>
      </c>
      <c r="S15" s="5">
        <f t="shared" si="19"/>
        <v>74678.183252300005</v>
      </c>
      <c r="T15" s="5">
        <f t="shared" si="20"/>
        <v>74678.183252300005</v>
      </c>
      <c r="U15" s="5">
        <f t="shared" si="2"/>
        <v>27999.960913340801</v>
      </c>
      <c r="W15" s="5">
        <f t="shared" si="21"/>
        <v>0</v>
      </c>
      <c r="X15" s="5">
        <f t="shared" si="22"/>
        <v>12793.355672149997</v>
      </c>
      <c r="Y15" s="5">
        <f t="shared" si="23"/>
        <v>12793.355672149997</v>
      </c>
      <c r="Z15" s="5">
        <f t="shared" si="3"/>
        <v>4796.7618274863989</v>
      </c>
      <c r="AC15" s="5">
        <f t="shared" si="24"/>
        <v>6797.7753931999987</v>
      </c>
      <c r="AD15" s="5">
        <f t="shared" si="25"/>
        <v>6797.7753931999987</v>
      </c>
      <c r="AE15" s="5">
        <f t="shared" si="4"/>
        <v>2548.7690918271996</v>
      </c>
      <c r="AH15" s="5">
        <f t="shared" si="26"/>
        <v>2982.0392153999992</v>
      </c>
      <c r="AI15" s="5">
        <f t="shared" si="27"/>
        <v>2982.0392153999992</v>
      </c>
      <c r="AJ15" s="5">
        <f t="shared" si="5"/>
        <v>1118.0906904383999</v>
      </c>
      <c r="AM15" s="5">
        <f t="shared" si="28"/>
        <v>18957.915734349994</v>
      </c>
      <c r="AN15" s="5">
        <f t="shared" si="29"/>
        <v>18957.915734349994</v>
      </c>
      <c r="AO15" s="5">
        <f t="shared" si="6"/>
        <v>7108.1121211375985</v>
      </c>
      <c r="AR15" s="5">
        <f t="shared" si="46"/>
        <v>25631.658489199996</v>
      </c>
      <c r="AS15" s="5">
        <f t="shared" si="47"/>
        <v>25631.658489199996</v>
      </c>
      <c r="AT15" s="5">
        <f t="shared" si="7"/>
        <v>9610.3762114431975</v>
      </c>
      <c r="AW15" s="5">
        <f t="shared" si="30"/>
        <v>11386.177384149998</v>
      </c>
      <c r="AX15" s="5">
        <f t="shared" si="31"/>
        <v>11386.177384149998</v>
      </c>
      <c r="AY15" s="5">
        <f t="shared" si="8"/>
        <v>4269.1520846383992</v>
      </c>
      <c r="BB15" s="5">
        <f t="shared" si="32"/>
        <v>21557.346210349995</v>
      </c>
      <c r="BC15" s="5">
        <f t="shared" si="33"/>
        <v>21557.346210349995</v>
      </c>
      <c r="BD15" s="5">
        <f t="shared" si="9"/>
        <v>8082.7468612335979</v>
      </c>
      <c r="BG15" s="5">
        <f t="shared" si="34"/>
        <v>12195.691987449998</v>
      </c>
      <c r="BH15" s="5">
        <f t="shared" si="35"/>
        <v>12195.691987449998</v>
      </c>
      <c r="BI15" s="5">
        <f t="shared" si="10"/>
        <v>4572.6728220751993</v>
      </c>
      <c r="BL15" s="5">
        <f t="shared" si="36"/>
        <v>9261.5563234000001</v>
      </c>
      <c r="BM15" s="5">
        <f t="shared" si="37"/>
        <v>9261.5563234000001</v>
      </c>
      <c r="BN15" s="5">
        <f t="shared" si="11"/>
        <v>3472.5431680063998</v>
      </c>
      <c r="BP15" s="5">
        <f t="shared" si="38"/>
        <v>0</v>
      </c>
      <c r="BQ15" s="5">
        <f t="shared" si="39"/>
        <v>1964.0995438</v>
      </c>
      <c r="BR15" s="5">
        <f t="shared" si="40"/>
        <v>1964.0995438</v>
      </c>
      <c r="BS15" s="5">
        <f t="shared" si="12"/>
        <v>736.42271492479995</v>
      </c>
      <c r="BX15" s="5">
        <f t="shared" si="13"/>
        <v>0</v>
      </c>
    </row>
    <row r="16" spans="1:79" x14ac:dyDescent="0.25">
      <c r="A16" s="29">
        <v>46478</v>
      </c>
      <c r="B16" s="30"/>
      <c r="C16" s="3">
        <v>2030000</v>
      </c>
      <c r="D16" s="3">
        <v>344875</v>
      </c>
      <c r="E16" s="3">
        <f t="shared" si="0"/>
        <v>2374875</v>
      </c>
      <c r="F16" s="3">
        <v>129308</v>
      </c>
      <c r="H16" s="5">
        <f t="shared" si="52"/>
        <v>2029999.9999999995</v>
      </c>
      <c r="I16" s="5">
        <f t="shared" si="14"/>
        <v>344874.99999999994</v>
      </c>
      <c r="J16" s="5">
        <f t="shared" si="15"/>
        <v>2374874.9999999995</v>
      </c>
      <c r="K16" s="5">
        <f t="shared" si="14"/>
        <v>129307.99999999999</v>
      </c>
      <c r="M16" s="5">
        <f t="shared" si="16"/>
        <v>863322.87817999988</v>
      </c>
      <c r="N16" s="5">
        <f t="shared" si="41"/>
        <v>146669.20079424998</v>
      </c>
      <c r="O16" s="5">
        <f t="shared" si="17"/>
        <v>1009992.0789742499</v>
      </c>
      <c r="P16" s="5">
        <f t="shared" si="1"/>
        <v>54992.391493447991</v>
      </c>
      <c r="R16" s="5">
        <f t="shared" si="18"/>
        <v>439570.02392800001</v>
      </c>
      <c r="S16" s="5">
        <f t="shared" si="19"/>
        <v>74678.183252300005</v>
      </c>
      <c r="T16" s="5">
        <f t="shared" si="20"/>
        <v>514248.20718030003</v>
      </c>
      <c r="U16" s="5">
        <f t="shared" si="2"/>
        <v>27999.960913340801</v>
      </c>
      <c r="W16" s="5">
        <f t="shared" si="21"/>
        <v>75304.130523999993</v>
      </c>
      <c r="X16" s="5">
        <f t="shared" si="22"/>
        <v>12793.355672149997</v>
      </c>
      <c r="Y16" s="5">
        <f t="shared" si="23"/>
        <v>88097.486196149985</v>
      </c>
      <c r="Z16" s="5">
        <f t="shared" si="3"/>
        <v>4796.7618274863989</v>
      </c>
      <c r="AB16" s="5">
        <f t="shared" si="42"/>
        <v>40013.001951999991</v>
      </c>
      <c r="AC16" s="5">
        <f t="shared" si="24"/>
        <v>6797.7753931999987</v>
      </c>
      <c r="AD16" s="5">
        <f t="shared" si="25"/>
        <v>46810.777345199989</v>
      </c>
      <c r="AE16" s="5">
        <f t="shared" si="4"/>
        <v>2548.7690918271996</v>
      </c>
      <c r="AG16" s="5">
        <f t="shared" si="43"/>
        <v>17552.851343999995</v>
      </c>
      <c r="AH16" s="5">
        <f t="shared" si="26"/>
        <v>2982.0392153999992</v>
      </c>
      <c r="AI16" s="5">
        <f t="shared" si="27"/>
        <v>20534.890559399995</v>
      </c>
      <c r="AJ16" s="5">
        <f t="shared" si="5"/>
        <v>1118.0906904383999</v>
      </c>
      <c r="AL16" s="5">
        <f t="shared" si="44"/>
        <v>111589.90631599998</v>
      </c>
      <c r="AM16" s="5">
        <f t="shared" si="28"/>
        <v>18957.915734349994</v>
      </c>
      <c r="AN16" s="5">
        <f t="shared" si="29"/>
        <v>130547.82205034998</v>
      </c>
      <c r="AO16" s="5">
        <f t="shared" si="6"/>
        <v>7108.1121211375985</v>
      </c>
      <c r="AQ16" s="5">
        <f t="shared" si="45"/>
        <v>150872.82851199998</v>
      </c>
      <c r="AR16" s="5">
        <f t="shared" si="46"/>
        <v>25631.658489199996</v>
      </c>
      <c r="AS16" s="5">
        <f t="shared" si="47"/>
        <v>176504.48700119997</v>
      </c>
      <c r="AT16" s="5">
        <f t="shared" si="7"/>
        <v>9610.3762114431975</v>
      </c>
      <c r="AV16" s="5">
        <f t="shared" si="48"/>
        <v>67021.210843999987</v>
      </c>
      <c r="AW16" s="5">
        <f t="shared" si="30"/>
        <v>11386.177384149998</v>
      </c>
      <c r="AX16" s="5">
        <f t="shared" si="31"/>
        <v>78407.388228149983</v>
      </c>
      <c r="AY16" s="5">
        <f t="shared" si="8"/>
        <v>4269.1520846383992</v>
      </c>
      <c r="BA16" s="5">
        <f t="shared" si="49"/>
        <v>126890.64967599997</v>
      </c>
      <c r="BB16" s="5">
        <f t="shared" si="32"/>
        <v>21557.346210349995</v>
      </c>
      <c r="BC16" s="5">
        <f t="shared" si="33"/>
        <v>148447.99588634996</v>
      </c>
      <c r="BD16" s="5">
        <f t="shared" si="9"/>
        <v>8082.7468612335979</v>
      </c>
      <c r="BF16" s="5">
        <f t="shared" si="50"/>
        <v>71786.168131999992</v>
      </c>
      <c r="BG16" s="5">
        <f t="shared" si="34"/>
        <v>12195.691987449998</v>
      </c>
      <c r="BH16" s="5">
        <f t="shared" si="35"/>
        <v>83981.860119449993</v>
      </c>
      <c r="BI16" s="5">
        <f t="shared" si="10"/>
        <v>4572.6728220751993</v>
      </c>
      <c r="BK16" s="5">
        <f t="shared" si="51"/>
        <v>54515.286223999996</v>
      </c>
      <c r="BL16" s="5">
        <f t="shared" si="36"/>
        <v>9261.5563234000001</v>
      </c>
      <c r="BM16" s="5">
        <f t="shared" si="37"/>
        <v>63776.842547399996</v>
      </c>
      <c r="BN16" s="5">
        <f t="shared" si="11"/>
        <v>3472.5431680063998</v>
      </c>
      <c r="BP16" s="5">
        <f t="shared" si="38"/>
        <v>11561.064367999999</v>
      </c>
      <c r="BQ16" s="5">
        <f t="shared" si="39"/>
        <v>1964.0995438</v>
      </c>
      <c r="BR16" s="5">
        <f t="shared" si="40"/>
        <v>13525.163911799998</v>
      </c>
      <c r="BS16" s="5">
        <f t="shared" si="12"/>
        <v>736.42271492479995</v>
      </c>
      <c r="BX16" s="5">
        <f t="shared" si="13"/>
        <v>0</v>
      </c>
    </row>
    <row r="17" spans="1:77" x14ac:dyDescent="0.25">
      <c r="A17" s="29">
        <v>46661</v>
      </c>
      <c r="D17" s="3">
        <v>294125</v>
      </c>
      <c r="E17" s="3">
        <f t="shared" si="0"/>
        <v>294125</v>
      </c>
      <c r="F17" s="3">
        <v>129308</v>
      </c>
      <c r="I17" s="5">
        <f t="shared" si="14"/>
        <v>294125</v>
      </c>
      <c r="J17" s="5">
        <f t="shared" si="15"/>
        <v>294125</v>
      </c>
      <c r="K17" s="5">
        <f t="shared" si="14"/>
        <v>129307.99999999999</v>
      </c>
      <c r="M17" s="5">
        <f t="shared" si="16"/>
        <v>0</v>
      </c>
      <c r="N17" s="5">
        <f t="shared" si="41"/>
        <v>125086.12883974999</v>
      </c>
      <c r="O17" s="5">
        <f t="shared" si="17"/>
        <v>125086.12883974999</v>
      </c>
      <c r="P17" s="5">
        <f t="shared" si="1"/>
        <v>54992.391493447991</v>
      </c>
      <c r="R17" s="5">
        <f t="shared" si="18"/>
        <v>0</v>
      </c>
      <c r="S17" s="5">
        <f t="shared" si="19"/>
        <v>63688.932654099997</v>
      </c>
      <c r="T17" s="5">
        <f t="shared" si="20"/>
        <v>63688.932654099997</v>
      </c>
      <c r="U17" s="5">
        <f t="shared" si="2"/>
        <v>27999.960913340801</v>
      </c>
      <c r="W17" s="5">
        <f t="shared" si="21"/>
        <v>0</v>
      </c>
      <c r="X17" s="5">
        <f t="shared" si="22"/>
        <v>10910.752409049999</v>
      </c>
      <c r="Y17" s="5">
        <f t="shared" si="23"/>
        <v>10910.752409049999</v>
      </c>
      <c r="Z17" s="5">
        <f t="shared" si="3"/>
        <v>4796.7618274863989</v>
      </c>
      <c r="AC17" s="5">
        <f t="shared" si="24"/>
        <v>5797.4503443999993</v>
      </c>
      <c r="AD17" s="5">
        <f t="shared" si="25"/>
        <v>5797.4503443999993</v>
      </c>
      <c r="AE17" s="5">
        <f t="shared" si="4"/>
        <v>2548.7690918271996</v>
      </c>
      <c r="AH17" s="5">
        <f t="shared" si="26"/>
        <v>2543.2179317999994</v>
      </c>
      <c r="AI17" s="5">
        <f t="shared" si="27"/>
        <v>2543.2179317999994</v>
      </c>
      <c r="AJ17" s="5">
        <f t="shared" si="5"/>
        <v>1118.0906904383999</v>
      </c>
      <c r="AM17" s="5">
        <f t="shared" si="28"/>
        <v>16168.168076449996</v>
      </c>
      <c r="AN17" s="5">
        <f t="shared" si="29"/>
        <v>16168.168076449996</v>
      </c>
      <c r="AO17" s="5">
        <f t="shared" si="6"/>
        <v>7108.1121211375985</v>
      </c>
      <c r="AR17" s="5">
        <f t="shared" si="46"/>
        <v>21859.837776399996</v>
      </c>
      <c r="AS17" s="5">
        <f t="shared" si="47"/>
        <v>21859.837776399996</v>
      </c>
      <c r="AT17" s="5">
        <f t="shared" si="7"/>
        <v>9610.3762114431975</v>
      </c>
      <c r="AW17" s="5">
        <f t="shared" si="30"/>
        <v>9710.6471130499995</v>
      </c>
      <c r="AX17" s="5">
        <f t="shared" si="31"/>
        <v>9710.6471130499995</v>
      </c>
      <c r="AY17" s="5">
        <f t="shared" si="8"/>
        <v>4269.1520846383992</v>
      </c>
      <c r="BB17" s="5">
        <f t="shared" si="32"/>
        <v>18385.079968449994</v>
      </c>
      <c r="BC17" s="5">
        <f t="shared" si="33"/>
        <v>18385.079968449994</v>
      </c>
      <c r="BD17" s="5">
        <f t="shared" si="9"/>
        <v>8082.7468612335979</v>
      </c>
      <c r="BG17" s="5">
        <f t="shared" si="34"/>
        <v>10401.037784149999</v>
      </c>
      <c r="BH17" s="5">
        <f t="shared" si="35"/>
        <v>10401.037784149999</v>
      </c>
      <c r="BI17" s="5">
        <f t="shared" si="10"/>
        <v>4572.6728220751993</v>
      </c>
      <c r="BL17" s="5">
        <f t="shared" si="36"/>
        <v>7898.6741677999999</v>
      </c>
      <c r="BM17" s="5">
        <f t="shared" si="37"/>
        <v>7898.6741677999999</v>
      </c>
      <c r="BN17" s="5">
        <f t="shared" si="11"/>
        <v>3472.5431680063998</v>
      </c>
      <c r="BP17" s="5">
        <f t="shared" si="38"/>
        <v>0</v>
      </c>
      <c r="BQ17" s="5">
        <f t="shared" si="39"/>
        <v>1675.0729346000001</v>
      </c>
      <c r="BR17" s="5">
        <f t="shared" si="40"/>
        <v>1675.0729346000001</v>
      </c>
      <c r="BS17" s="5">
        <f t="shared" si="12"/>
        <v>736.42271492479995</v>
      </c>
      <c r="BX17" s="5">
        <f t="shared" si="13"/>
        <v>0</v>
      </c>
    </row>
    <row r="18" spans="1:77" x14ac:dyDescent="0.25">
      <c r="A18" s="29">
        <v>46844</v>
      </c>
      <c r="C18" s="3">
        <v>2130000</v>
      </c>
      <c r="D18" s="3">
        <v>294125</v>
      </c>
      <c r="E18" s="3">
        <f t="shared" si="0"/>
        <v>2424125</v>
      </c>
      <c r="F18" s="3">
        <v>129308</v>
      </c>
      <c r="H18" s="5">
        <f t="shared" si="52"/>
        <v>2129999.9999999995</v>
      </c>
      <c r="I18" s="5">
        <f t="shared" si="14"/>
        <v>294125</v>
      </c>
      <c r="J18" s="5">
        <f t="shared" si="15"/>
        <v>2424124.9999999995</v>
      </c>
      <c r="K18" s="5">
        <f t="shared" si="14"/>
        <v>129307.99999999999</v>
      </c>
      <c r="M18" s="5">
        <f t="shared" si="16"/>
        <v>905851.09877999988</v>
      </c>
      <c r="N18" s="5">
        <f t="shared" si="41"/>
        <v>125086.12883974999</v>
      </c>
      <c r="O18" s="5">
        <f t="shared" si="17"/>
        <v>1030937.2276197498</v>
      </c>
      <c r="P18" s="5">
        <f t="shared" si="1"/>
        <v>54992.391493447991</v>
      </c>
      <c r="R18" s="5">
        <f t="shared" si="18"/>
        <v>461223.71968799998</v>
      </c>
      <c r="S18" s="5">
        <f t="shared" si="19"/>
        <v>63688.932654099997</v>
      </c>
      <c r="T18" s="5">
        <f t="shared" si="20"/>
        <v>524912.65234209993</v>
      </c>
      <c r="U18" s="5">
        <f t="shared" si="2"/>
        <v>27999.960913340801</v>
      </c>
      <c r="W18" s="5">
        <f t="shared" si="21"/>
        <v>79013.693603999985</v>
      </c>
      <c r="X18" s="5">
        <f t="shared" si="22"/>
        <v>10910.752409049999</v>
      </c>
      <c r="Y18" s="5">
        <f t="shared" si="23"/>
        <v>89924.446013049979</v>
      </c>
      <c r="Z18" s="5">
        <f t="shared" si="3"/>
        <v>4796.7618274863989</v>
      </c>
      <c r="AB18" s="5">
        <f t="shared" si="42"/>
        <v>41984.085791999991</v>
      </c>
      <c r="AC18" s="5">
        <f t="shared" si="24"/>
        <v>5797.4503443999993</v>
      </c>
      <c r="AD18" s="5">
        <f t="shared" si="25"/>
        <v>47781.536136399991</v>
      </c>
      <c r="AE18" s="5">
        <f t="shared" si="4"/>
        <v>2548.7690918271996</v>
      </c>
      <c r="AG18" s="5">
        <f t="shared" si="43"/>
        <v>18417.523823999996</v>
      </c>
      <c r="AH18" s="5">
        <f t="shared" si="26"/>
        <v>2543.2179317999994</v>
      </c>
      <c r="AI18" s="5">
        <f t="shared" si="27"/>
        <v>20960.741755799994</v>
      </c>
      <c r="AJ18" s="5">
        <f t="shared" si="5"/>
        <v>1118.0906904383999</v>
      </c>
      <c r="AL18" s="5">
        <f t="shared" si="44"/>
        <v>117086.94603599996</v>
      </c>
      <c r="AM18" s="5">
        <f t="shared" si="28"/>
        <v>16168.168076449996</v>
      </c>
      <c r="AN18" s="5">
        <f t="shared" si="29"/>
        <v>133255.11411244996</v>
      </c>
      <c r="AO18" s="5">
        <f t="shared" si="6"/>
        <v>7108.1121211375985</v>
      </c>
      <c r="AQ18" s="5">
        <f t="shared" si="45"/>
        <v>158304.98755199998</v>
      </c>
      <c r="AR18" s="5">
        <f t="shared" si="46"/>
        <v>21859.837776399996</v>
      </c>
      <c r="AS18" s="5">
        <f t="shared" si="47"/>
        <v>180164.82532839998</v>
      </c>
      <c r="AT18" s="5">
        <f t="shared" si="7"/>
        <v>9610.3762114431975</v>
      </c>
      <c r="AV18" s="5">
        <f t="shared" si="48"/>
        <v>70322.748324</v>
      </c>
      <c r="AW18" s="5">
        <f t="shared" si="30"/>
        <v>9710.6471130499995</v>
      </c>
      <c r="AX18" s="5">
        <f t="shared" si="31"/>
        <v>80033.39543705</v>
      </c>
      <c r="AY18" s="5">
        <f t="shared" si="8"/>
        <v>4269.1520846383992</v>
      </c>
      <c r="BA18" s="5">
        <f t="shared" si="49"/>
        <v>133141.42059599995</v>
      </c>
      <c r="BB18" s="5">
        <f t="shared" si="32"/>
        <v>18385.079968449994</v>
      </c>
      <c r="BC18" s="5">
        <f t="shared" si="33"/>
        <v>151526.50056444993</v>
      </c>
      <c r="BD18" s="5">
        <f t="shared" si="9"/>
        <v>8082.7468612335979</v>
      </c>
      <c r="BF18" s="5">
        <f t="shared" si="50"/>
        <v>75322.432571999991</v>
      </c>
      <c r="BG18" s="5">
        <f t="shared" si="34"/>
        <v>10401.037784149999</v>
      </c>
      <c r="BH18" s="5">
        <f t="shared" si="35"/>
        <v>85723.470356149992</v>
      </c>
      <c r="BI18" s="5">
        <f t="shared" si="10"/>
        <v>4572.6728220751993</v>
      </c>
      <c r="BK18" s="5">
        <f t="shared" si="51"/>
        <v>57200.768303999997</v>
      </c>
      <c r="BL18" s="5">
        <f t="shared" si="36"/>
        <v>7898.6741677999999</v>
      </c>
      <c r="BM18" s="5">
        <f t="shared" si="37"/>
        <v>65099.442471799994</v>
      </c>
      <c r="BN18" s="5">
        <f t="shared" si="11"/>
        <v>3472.5431680063998</v>
      </c>
      <c r="BP18" s="5">
        <f t="shared" si="38"/>
        <v>12130.574928</v>
      </c>
      <c r="BQ18" s="5">
        <f t="shared" si="39"/>
        <v>1675.0729346000001</v>
      </c>
      <c r="BR18" s="5">
        <f t="shared" si="40"/>
        <v>13805.647862600001</v>
      </c>
      <c r="BS18" s="5">
        <f t="shared" si="12"/>
        <v>736.42271492479995</v>
      </c>
      <c r="BX18" s="5">
        <f t="shared" si="13"/>
        <v>0</v>
      </c>
    </row>
    <row r="19" spans="1:77" x14ac:dyDescent="0.25">
      <c r="A19" s="29">
        <v>47027</v>
      </c>
      <c r="D19" s="3">
        <v>240875</v>
      </c>
      <c r="E19" s="3">
        <f t="shared" si="0"/>
        <v>240875</v>
      </c>
      <c r="F19" s="3">
        <v>129308</v>
      </c>
      <c r="I19" s="5">
        <f t="shared" si="14"/>
        <v>240874.99999999994</v>
      </c>
      <c r="J19" s="5">
        <f t="shared" si="15"/>
        <v>240874.99999999994</v>
      </c>
      <c r="K19" s="5">
        <f t="shared" si="14"/>
        <v>129307.99999999999</v>
      </c>
      <c r="M19" s="5">
        <f t="shared" si="16"/>
        <v>0</v>
      </c>
      <c r="N19" s="5">
        <f t="shared" si="41"/>
        <v>102439.85137024999</v>
      </c>
      <c r="O19" s="5">
        <f t="shared" si="17"/>
        <v>102439.85137024999</v>
      </c>
      <c r="P19" s="5">
        <f t="shared" si="1"/>
        <v>54992.391493447991</v>
      </c>
      <c r="R19" s="5">
        <f t="shared" si="18"/>
        <v>0</v>
      </c>
      <c r="S19" s="5">
        <f t="shared" si="19"/>
        <v>52158.339661899998</v>
      </c>
      <c r="T19" s="5">
        <f t="shared" si="20"/>
        <v>52158.339661899998</v>
      </c>
      <c r="U19" s="5">
        <f t="shared" si="2"/>
        <v>27999.960913340801</v>
      </c>
      <c r="W19" s="5">
        <f t="shared" si="21"/>
        <v>0</v>
      </c>
      <c r="X19" s="5">
        <f t="shared" si="22"/>
        <v>8935.4100689499992</v>
      </c>
      <c r="Y19" s="5">
        <f t="shared" si="23"/>
        <v>8935.4100689499992</v>
      </c>
      <c r="Z19" s="5">
        <f t="shared" si="3"/>
        <v>4796.7618274863989</v>
      </c>
      <c r="AC19" s="5">
        <f t="shared" si="24"/>
        <v>4747.8481995999991</v>
      </c>
      <c r="AD19" s="5">
        <f t="shared" si="25"/>
        <v>4747.8481995999991</v>
      </c>
      <c r="AE19" s="5">
        <f t="shared" si="4"/>
        <v>2548.7690918271996</v>
      </c>
      <c r="AH19" s="5">
        <f t="shared" si="26"/>
        <v>2082.7798361999994</v>
      </c>
      <c r="AI19" s="5">
        <f t="shared" si="27"/>
        <v>2082.7798361999994</v>
      </c>
      <c r="AJ19" s="5">
        <f t="shared" si="5"/>
        <v>1118.0906904383999</v>
      </c>
      <c r="AM19" s="5">
        <f t="shared" si="28"/>
        <v>13240.994425549996</v>
      </c>
      <c r="AN19" s="5">
        <f t="shared" si="29"/>
        <v>13240.994425549996</v>
      </c>
      <c r="AO19" s="5">
        <f t="shared" si="6"/>
        <v>7108.1121211375985</v>
      </c>
      <c r="AR19" s="5">
        <f t="shared" si="46"/>
        <v>17902.213087599997</v>
      </c>
      <c r="AS19" s="5">
        <f t="shared" si="47"/>
        <v>17902.213087599997</v>
      </c>
      <c r="AT19" s="5">
        <f t="shared" si="7"/>
        <v>9610.3762114431975</v>
      </c>
      <c r="AW19" s="5">
        <f t="shared" si="30"/>
        <v>7952.5784049499989</v>
      </c>
      <c r="AX19" s="5">
        <f t="shared" si="31"/>
        <v>7952.5784049499989</v>
      </c>
      <c r="AY19" s="5">
        <f t="shared" si="8"/>
        <v>4269.1520846383992</v>
      </c>
      <c r="BB19" s="5">
        <f t="shared" si="32"/>
        <v>15056.544453549996</v>
      </c>
      <c r="BC19" s="5">
        <f t="shared" si="33"/>
        <v>15056.544453549996</v>
      </c>
      <c r="BD19" s="5">
        <f t="shared" si="9"/>
        <v>8082.7468612335979</v>
      </c>
      <c r="BG19" s="5">
        <f t="shared" si="34"/>
        <v>8517.9769698499986</v>
      </c>
      <c r="BH19" s="5">
        <f t="shared" si="35"/>
        <v>8517.9769698499986</v>
      </c>
      <c r="BI19" s="5">
        <f t="shared" si="10"/>
        <v>4572.6728220751993</v>
      </c>
      <c r="BL19" s="5">
        <f t="shared" si="36"/>
        <v>6468.6549601999996</v>
      </c>
      <c r="BM19" s="5">
        <f t="shared" si="37"/>
        <v>6468.6549601999996</v>
      </c>
      <c r="BN19" s="5">
        <f t="shared" si="11"/>
        <v>3472.5431680063998</v>
      </c>
      <c r="BP19" s="5">
        <f t="shared" si="38"/>
        <v>0</v>
      </c>
      <c r="BQ19" s="5">
        <f t="shared" si="39"/>
        <v>1371.8085613999999</v>
      </c>
      <c r="BR19" s="5">
        <f t="shared" si="40"/>
        <v>1371.8085613999999</v>
      </c>
      <c r="BS19" s="5">
        <f t="shared" si="12"/>
        <v>736.42271492479995</v>
      </c>
      <c r="BX19" s="5">
        <f t="shared" si="13"/>
        <v>0</v>
      </c>
    </row>
    <row r="20" spans="1:77" x14ac:dyDescent="0.25">
      <c r="A20" s="29">
        <v>47209</v>
      </c>
      <c r="C20" s="3">
        <v>2235000</v>
      </c>
      <c r="D20" s="3">
        <v>240875</v>
      </c>
      <c r="E20" s="3">
        <f t="shared" si="0"/>
        <v>2475875</v>
      </c>
      <c r="F20" s="3">
        <v>129308</v>
      </c>
      <c r="H20" s="5">
        <f t="shared" si="52"/>
        <v>2235000</v>
      </c>
      <c r="I20" s="5">
        <f t="shared" si="14"/>
        <v>240874.99999999994</v>
      </c>
      <c r="J20" s="5">
        <f t="shared" si="15"/>
        <v>2475875</v>
      </c>
      <c r="K20" s="5">
        <f t="shared" si="14"/>
        <v>129307.99999999999</v>
      </c>
      <c r="M20" s="5">
        <f t="shared" si="16"/>
        <v>950505.73040999984</v>
      </c>
      <c r="N20" s="5">
        <f t="shared" si="41"/>
        <v>102439.85137024999</v>
      </c>
      <c r="O20" s="5">
        <f t="shared" si="17"/>
        <v>1052945.5817802497</v>
      </c>
      <c r="P20" s="5">
        <f t="shared" si="1"/>
        <v>54992.391493447991</v>
      </c>
      <c r="R20" s="5">
        <f t="shared" si="18"/>
        <v>483960.10023599997</v>
      </c>
      <c r="S20" s="5">
        <f t="shared" si="19"/>
        <v>52158.339661899998</v>
      </c>
      <c r="T20" s="5">
        <f t="shared" si="20"/>
        <v>536118.43989789998</v>
      </c>
      <c r="U20" s="5">
        <f t="shared" si="2"/>
        <v>27999.960913340801</v>
      </c>
      <c r="W20" s="5">
        <f t="shared" si="21"/>
        <v>82908.734837999989</v>
      </c>
      <c r="X20" s="5">
        <f t="shared" si="22"/>
        <v>8935.4100689499992</v>
      </c>
      <c r="Y20" s="5">
        <f t="shared" si="23"/>
        <v>91844.144906949994</v>
      </c>
      <c r="Z20" s="5">
        <f t="shared" si="3"/>
        <v>4796.7618274863989</v>
      </c>
      <c r="AB20" s="5">
        <f t="shared" si="42"/>
        <v>44053.723823999993</v>
      </c>
      <c r="AC20" s="5">
        <f t="shared" si="24"/>
        <v>4747.8481995999991</v>
      </c>
      <c r="AD20" s="5">
        <f t="shared" si="25"/>
        <v>48801.572023599991</v>
      </c>
      <c r="AE20" s="5">
        <f t="shared" si="4"/>
        <v>2548.7690918271996</v>
      </c>
      <c r="AG20" s="5">
        <f t="shared" si="43"/>
        <v>19325.429927999998</v>
      </c>
      <c r="AH20" s="5">
        <f t="shared" si="26"/>
        <v>2082.7798361999994</v>
      </c>
      <c r="AI20" s="5">
        <f t="shared" si="27"/>
        <v>21408.209764199997</v>
      </c>
      <c r="AJ20" s="5">
        <f t="shared" si="5"/>
        <v>1118.0906904383999</v>
      </c>
      <c r="AL20" s="5">
        <f t="shared" si="44"/>
        <v>122858.83774199997</v>
      </c>
      <c r="AM20" s="5">
        <f t="shared" si="28"/>
        <v>13240.994425549996</v>
      </c>
      <c r="AN20" s="5">
        <f t="shared" si="29"/>
        <v>136099.83216754996</v>
      </c>
      <c r="AO20" s="5">
        <f t="shared" si="6"/>
        <v>7108.1121211375985</v>
      </c>
      <c r="AQ20" s="5">
        <f t="shared" si="45"/>
        <v>166108.75454399997</v>
      </c>
      <c r="AR20" s="5">
        <f t="shared" si="46"/>
        <v>17902.213087599997</v>
      </c>
      <c r="AS20" s="5">
        <f t="shared" si="47"/>
        <v>184010.96763159995</v>
      </c>
      <c r="AT20" s="5">
        <f t="shared" si="7"/>
        <v>9610.3762114431975</v>
      </c>
      <c r="AV20" s="5">
        <f t="shared" si="48"/>
        <v>73789.36267799999</v>
      </c>
      <c r="AW20" s="5">
        <f t="shared" si="30"/>
        <v>7952.5784049499989</v>
      </c>
      <c r="AX20" s="5">
        <f t="shared" si="31"/>
        <v>81741.941082949983</v>
      </c>
      <c r="AY20" s="5">
        <f t="shared" si="8"/>
        <v>4269.1520846383992</v>
      </c>
      <c r="BA20" s="5">
        <f t="shared" si="49"/>
        <v>139704.73006199996</v>
      </c>
      <c r="BB20" s="5">
        <f t="shared" si="32"/>
        <v>15056.544453549996</v>
      </c>
      <c r="BC20" s="5">
        <f t="shared" si="33"/>
        <v>154761.27451554994</v>
      </c>
      <c r="BD20" s="5">
        <f t="shared" si="9"/>
        <v>8082.7468612335979</v>
      </c>
      <c r="BF20" s="5">
        <f t="shared" si="50"/>
        <v>79035.510233999987</v>
      </c>
      <c r="BG20" s="5">
        <f t="shared" si="34"/>
        <v>8517.9769698499986</v>
      </c>
      <c r="BH20" s="5">
        <f t="shared" si="35"/>
        <v>87553.487203849989</v>
      </c>
      <c r="BI20" s="5">
        <f t="shared" si="10"/>
        <v>4572.6728220751993</v>
      </c>
      <c r="BK20" s="5">
        <f t="shared" si="51"/>
        <v>60020.524487999995</v>
      </c>
      <c r="BL20" s="5">
        <f t="shared" si="36"/>
        <v>6468.6549601999996</v>
      </c>
      <c r="BM20" s="5">
        <f t="shared" si="37"/>
        <v>66489.179448199997</v>
      </c>
      <c r="BN20" s="5">
        <f t="shared" si="11"/>
        <v>3472.5431680063998</v>
      </c>
      <c r="BP20" s="5">
        <f t="shared" si="38"/>
        <v>12728.561016</v>
      </c>
      <c r="BQ20" s="5">
        <f t="shared" si="39"/>
        <v>1371.8085613999999</v>
      </c>
      <c r="BR20" s="5">
        <f t="shared" si="40"/>
        <v>14100.369577399999</v>
      </c>
      <c r="BS20" s="5">
        <f t="shared" si="12"/>
        <v>736.42271492479995</v>
      </c>
      <c r="BX20" s="5">
        <f t="shared" si="13"/>
        <v>0</v>
      </c>
    </row>
    <row r="21" spans="1:77" x14ac:dyDescent="0.25">
      <c r="A21" s="29">
        <v>47392</v>
      </c>
      <c r="D21" s="3">
        <v>185000</v>
      </c>
      <c r="E21" s="3">
        <f t="shared" si="0"/>
        <v>185000</v>
      </c>
      <c r="F21" s="3">
        <v>129308</v>
      </c>
      <c r="I21" s="5">
        <f t="shared" si="14"/>
        <v>184999.99999999997</v>
      </c>
      <c r="J21" s="5">
        <f t="shared" si="15"/>
        <v>184999.99999999997</v>
      </c>
      <c r="K21" s="5">
        <f t="shared" si="14"/>
        <v>129307.99999999999</v>
      </c>
      <c r="M21" s="5">
        <f t="shared" si="16"/>
        <v>0</v>
      </c>
      <c r="N21" s="5">
        <f t="shared" si="41"/>
        <v>78677.208109999992</v>
      </c>
      <c r="O21" s="5">
        <f t="shared" si="17"/>
        <v>78677.208109999992</v>
      </c>
      <c r="P21" s="5">
        <f t="shared" si="1"/>
        <v>54992.391493447991</v>
      </c>
      <c r="R21" s="5">
        <f t="shared" si="18"/>
        <v>0</v>
      </c>
      <c r="S21" s="5">
        <f t="shared" si="19"/>
        <v>40059.337156000001</v>
      </c>
      <c r="T21" s="5">
        <f t="shared" si="20"/>
        <v>40059.337156000001</v>
      </c>
      <c r="U21" s="5">
        <f t="shared" si="2"/>
        <v>27999.960913340801</v>
      </c>
      <c r="W21" s="5">
        <f t="shared" si="21"/>
        <v>0</v>
      </c>
      <c r="X21" s="5">
        <f t="shared" si="22"/>
        <v>6862.6916979999987</v>
      </c>
      <c r="Y21" s="5">
        <f t="shared" si="23"/>
        <v>6862.6916979999987</v>
      </c>
      <c r="Z21" s="5">
        <f t="shared" si="3"/>
        <v>4796.7618274863989</v>
      </c>
      <c r="AC21" s="5">
        <f t="shared" si="24"/>
        <v>3646.5051039999994</v>
      </c>
      <c r="AD21" s="5">
        <f t="shared" si="25"/>
        <v>3646.5051039999994</v>
      </c>
      <c r="AE21" s="5">
        <f t="shared" si="4"/>
        <v>2548.7690918271996</v>
      </c>
      <c r="AH21" s="5">
        <f t="shared" si="26"/>
        <v>1599.6440879999998</v>
      </c>
      <c r="AI21" s="5">
        <f t="shared" si="27"/>
        <v>1599.6440879999998</v>
      </c>
      <c r="AJ21" s="5">
        <f t="shared" si="5"/>
        <v>1118.0906904383999</v>
      </c>
      <c r="AM21" s="5">
        <f t="shared" si="28"/>
        <v>10169.523481999997</v>
      </c>
      <c r="AN21" s="5">
        <f t="shared" si="29"/>
        <v>10169.523481999997</v>
      </c>
      <c r="AO21" s="5">
        <f t="shared" si="6"/>
        <v>7108.1121211375985</v>
      </c>
      <c r="AR21" s="5">
        <f t="shared" si="46"/>
        <v>13749.494223999996</v>
      </c>
      <c r="AS21" s="5">
        <f t="shared" si="47"/>
        <v>13749.494223999996</v>
      </c>
      <c r="AT21" s="5">
        <f t="shared" si="7"/>
        <v>9610.3762114431975</v>
      </c>
      <c r="AW21" s="5">
        <f t="shared" si="30"/>
        <v>6107.8443379999999</v>
      </c>
      <c r="AX21" s="5">
        <f t="shared" si="31"/>
        <v>6107.8443379999999</v>
      </c>
      <c r="AY21" s="5">
        <f t="shared" si="8"/>
        <v>4269.1520846383992</v>
      </c>
      <c r="BB21" s="5">
        <f t="shared" si="32"/>
        <v>11563.926201999997</v>
      </c>
      <c r="BC21" s="5">
        <f t="shared" si="33"/>
        <v>11563.926201999997</v>
      </c>
      <c r="BD21" s="5">
        <f t="shared" si="9"/>
        <v>8082.7468612335979</v>
      </c>
      <c r="BG21" s="5">
        <f t="shared" si="34"/>
        <v>6542.0892139999996</v>
      </c>
      <c r="BH21" s="5">
        <f t="shared" si="35"/>
        <v>6542.0892139999996</v>
      </c>
      <c r="BI21" s="5">
        <f t="shared" si="10"/>
        <v>4572.6728220751993</v>
      </c>
      <c r="BL21" s="5">
        <f t="shared" si="36"/>
        <v>4968.1418479999993</v>
      </c>
      <c r="BM21" s="5">
        <f t="shared" si="37"/>
        <v>4968.1418479999993</v>
      </c>
      <c r="BN21" s="5">
        <f t="shared" si="11"/>
        <v>3472.5431680063998</v>
      </c>
      <c r="BP21" s="5">
        <f t="shared" si="38"/>
        <v>0</v>
      </c>
      <c r="BQ21" s="5">
        <f t="shared" si="39"/>
        <v>1053.5945360000001</v>
      </c>
      <c r="BR21" s="5">
        <f t="shared" si="40"/>
        <v>1053.5945360000001</v>
      </c>
      <c r="BS21" s="5">
        <f t="shared" si="12"/>
        <v>736.42271492479995</v>
      </c>
      <c r="BX21" s="5">
        <f t="shared" si="13"/>
        <v>0</v>
      </c>
    </row>
    <row r="22" spans="1:77" x14ac:dyDescent="0.25">
      <c r="A22" s="29">
        <v>11049</v>
      </c>
      <c r="C22" s="3">
        <v>2345000</v>
      </c>
      <c r="D22" s="3">
        <v>185000</v>
      </c>
      <c r="E22" s="3">
        <f t="shared" si="0"/>
        <v>2530000</v>
      </c>
      <c r="F22" s="3">
        <v>129308</v>
      </c>
      <c r="H22" s="5">
        <f t="shared" si="52"/>
        <v>2345000</v>
      </c>
      <c r="I22" s="5">
        <f t="shared" si="14"/>
        <v>184999.99999999997</v>
      </c>
      <c r="J22" s="5">
        <f t="shared" si="15"/>
        <v>2530000</v>
      </c>
      <c r="K22" s="5">
        <f t="shared" si="14"/>
        <v>129307.99999999999</v>
      </c>
      <c r="M22" s="5">
        <f t="shared" si="16"/>
        <v>997286.77306999988</v>
      </c>
      <c r="N22" s="5">
        <f t="shared" si="41"/>
        <v>78677.208109999992</v>
      </c>
      <c r="O22" s="5">
        <f t="shared" si="17"/>
        <v>1075963.9811799999</v>
      </c>
      <c r="P22" s="5">
        <f t="shared" si="1"/>
        <v>54992.391493447991</v>
      </c>
      <c r="R22" s="5">
        <f t="shared" si="18"/>
        <v>507779.16557199997</v>
      </c>
      <c r="S22" s="5">
        <f t="shared" si="19"/>
        <v>40059.337156000001</v>
      </c>
      <c r="T22" s="5">
        <f t="shared" si="20"/>
        <v>547838.50272799993</v>
      </c>
      <c r="U22" s="5">
        <f t="shared" si="2"/>
        <v>27999.960913340801</v>
      </c>
      <c r="W22" s="5">
        <f t="shared" si="21"/>
        <v>86989.25422599999</v>
      </c>
      <c r="X22" s="5">
        <f t="shared" si="22"/>
        <v>6862.6916979999987</v>
      </c>
      <c r="Y22" s="5">
        <f t="shared" si="23"/>
        <v>93851.945923999985</v>
      </c>
      <c r="Z22" s="5">
        <f t="shared" si="3"/>
        <v>4796.7618274863989</v>
      </c>
      <c r="AB22" s="5">
        <f t="shared" si="42"/>
        <v>46221.916047999992</v>
      </c>
      <c r="AC22" s="5">
        <f t="shared" si="24"/>
        <v>3646.5051039999994</v>
      </c>
      <c r="AD22" s="5">
        <f t="shared" si="25"/>
        <v>49868.421151999988</v>
      </c>
      <c r="AE22" s="5">
        <f t="shared" si="4"/>
        <v>2548.7690918271996</v>
      </c>
      <c r="AG22" s="5">
        <f t="shared" si="43"/>
        <v>20276.569655999996</v>
      </c>
      <c r="AH22" s="5">
        <f t="shared" si="26"/>
        <v>1599.6440879999998</v>
      </c>
      <c r="AI22" s="5">
        <f t="shared" si="27"/>
        <v>21876.213743999997</v>
      </c>
      <c r="AJ22" s="5">
        <f t="shared" si="5"/>
        <v>1118.0906904383999</v>
      </c>
      <c r="AL22" s="5">
        <f t="shared" si="44"/>
        <v>128905.58143399996</v>
      </c>
      <c r="AM22" s="5">
        <f t="shared" si="28"/>
        <v>10169.523481999997</v>
      </c>
      <c r="AN22" s="5">
        <f t="shared" si="29"/>
        <v>139075.10491599995</v>
      </c>
      <c r="AO22" s="5">
        <f t="shared" si="6"/>
        <v>7108.1121211375985</v>
      </c>
      <c r="AQ22" s="5">
        <f t="shared" si="45"/>
        <v>174284.12948799998</v>
      </c>
      <c r="AR22" s="5">
        <f t="shared" si="46"/>
        <v>13749.494223999996</v>
      </c>
      <c r="AS22" s="5">
        <f t="shared" si="47"/>
        <v>188033.62371199997</v>
      </c>
      <c r="AT22" s="5">
        <f t="shared" si="7"/>
        <v>9610.3762114431975</v>
      </c>
      <c r="AV22" s="5">
        <f t="shared" si="48"/>
        <v>77421.053905999986</v>
      </c>
      <c r="AW22" s="5">
        <f t="shared" si="30"/>
        <v>6107.8443379999999</v>
      </c>
      <c r="AX22" s="5">
        <f t="shared" si="31"/>
        <v>83528.898243999982</v>
      </c>
      <c r="AY22" s="5">
        <f t="shared" si="8"/>
        <v>4269.1520846383992</v>
      </c>
      <c r="BA22" s="5">
        <f t="shared" si="49"/>
        <v>146580.57807399996</v>
      </c>
      <c r="BB22" s="5">
        <f t="shared" si="32"/>
        <v>11563.926201999997</v>
      </c>
      <c r="BC22" s="5">
        <f t="shared" si="33"/>
        <v>158144.50427599996</v>
      </c>
      <c r="BD22" s="5">
        <f t="shared" si="9"/>
        <v>8082.7468612335979</v>
      </c>
      <c r="BF22" s="5">
        <f t="shared" si="50"/>
        <v>82925.401117999994</v>
      </c>
      <c r="BG22" s="5">
        <f t="shared" si="34"/>
        <v>6542.0892139999996</v>
      </c>
      <c r="BH22" s="5">
        <f t="shared" si="35"/>
        <v>89467.490331999987</v>
      </c>
      <c r="BI22" s="5">
        <f t="shared" si="10"/>
        <v>4572.6728220751993</v>
      </c>
      <c r="BK22" s="5">
        <f t="shared" si="51"/>
        <v>62974.554775999997</v>
      </c>
      <c r="BL22" s="5">
        <f t="shared" si="36"/>
        <v>4968.1418479999993</v>
      </c>
      <c r="BM22" s="5">
        <f t="shared" si="37"/>
        <v>67942.696624000004</v>
      </c>
      <c r="BN22" s="5">
        <f t="shared" si="11"/>
        <v>3472.5431680063998</v>
      </c>
      <c r="BP22" s="5">
        <f t="shared" si="38"/>
        <v>13355.022632</v>
      </c>
      <c r="BQ22" s="5">
        <f t="shared" si="39"/>
        <v>1053.5945360000001</v>
      </c>
      <c r="BR22" s="5">
        <f t="shared" si="40"/>
        <v>14408.617168000001</v>
      </c>
      <c r="BS22" s="5">
        <f t="shared" si="12"/>
        <v>736.42271492479995</v>
      </c>
      <c r="BX22" s="5">
        <f t="shared" si="13"/>
        <v>0</v>
      </c>
    </row>
    <row r="23" spans="1:77" x14ac:dyDescent="0.25">
      <c r="A23" s="29">
        <v>11232</v>
      </c>
      <c r="D23" s="3">
        <v>126375</v>
      </c>
      <c r="E23" s="3">
        <f t="shared" si="0"/>
        <v>126375</v>
      </c>
      <c r="F23" s="3">
        <v>129308</v>
      </c>
      <c r="I23" s="5">
        <f t="shared" si="14"/>
        <v>126374.99999999999</v>
      </c>
      <c r="J23" s="5">
        <f t="shared" si="15"/>
        <v>126374.99999999999</v>
      </c>
      <c r="K23" s="5">
        <f t="shared" si="14"/>
        <v>129307.99999999999</v>
      </c>
      <c r="M23" s="5">
        <f t="shared" si="16"/>
        <v>0</v>
      </c>
      <c r="N23" s="5">
        <f t="shared" si="41"/>
        <v>53745.038783249991</v>
      </c>
      <c r="O23" s="5">
        <f t="shared" si="17"/>
        <v>53745.038783249991</v>
      </c>
      <c r="P23" s="5">
        <f t="shared" si="1"/>
        <v>54992.391493447991</v>
      </c>
      <c r="R23" s="5">
        <f t="shared" si="18"/>
        <v>0</v>
      </c>
      <c r="S23" s="5">
        <f t="shared" si="19"/>
        <v>27364.8580167</v>
      </c>
      <c r="T23" s="5">
        <f t="shared" si="20"/>
        <v>27364.8580167</v>
      </c>
      <c r="U23" s="5">
        <f t="shared" si="2"/>
        <v>27999.960913340801</v>
      </c>
      <c r="W23" s="5">
        <f t="shared" si="21"/>
        <v>0</v>
      </c>
      <c r="X23" s="5">
        <f t="shared" si="22"/>
        <v>4687.9603423499993</v>
      </c>
      <c r="Y23" s="5">
        <f t="shared" si="23"/>
        <v>4687.9603423499993</v>
      </c>
      <c r="Z23" s="5">
        <f t="shared" si="3"/>
        <v>4796.7618274863989</v>
      </c>
      <c r="AC23" s="5">
        <f t="shared" si="24"/>
        <v>2490.9572027999993</v>
      </c>
      <c r="AD23" s="5">
        <f t="shared" si="25"/>
        <v>2490.9572027999993</v>
      </c>
      <c r="AE23" s="5">
        <f t="shared" si="4"/>
        <v>2548.7690918271996</v>
      </c>
      <c r="AH23" s="5">
        <f t="shared" si="26"/>
        <v>1092.7298465999997</v>
      </c>
      <c r="AI23" s="5">
        <f t="shared" si="27"/>
        <v>1092.7298465999997</v>
      </c>
      <c r="AJ23" s="5">
        <f t="shared" si="5"/>
        <v>1118.0906904383999</v>
      </c>
      <c r="AM23" s="5">
        <f t="shared" si="28"/>
        <v>6946.8839461499983</v>
      </c>
      <c r="AN23" s="5">
        <f t="shared" si="29"/>
        <v>6946.8839461499983</v>
      </c>
      <c r="AO23" s="5">
        <f t="shared" si="6"/>
        <v>7108.1121211375985</v>
      </c>
      <c r="AR23" s="5">
        <f t="shared" si="46"/>
        <v>9392.3909867999973</v>
      </c>
      <c r="AS23" s="5">
        <f t="shared" si="47"/>
        <v>9392.3909867999973</v>
      </c>
      <c r="AT23" s="5">
        <f t="shared" si="7"/>
        <v>9610.3762114431975</v>
      </c>
      <c r="AW23" s="5">
        <f t="shared" si="30"/>
        <v>4172.3179903499995</v>
      </c>
      <c r="AX23" s="5">
        <f t="shared" si="31"/>
        <v>4172.3179903499995</v>
      </c>
      <c r="AY23" s="5">
        <f t="shared" si="8"/>
        <v>4269.1520846383992</v>
      </c>
      <c r="BB23" s="5">
        <f t="shared" si="32"/>
        <v>7899.4117501499977</v>
      </c>
      <c r="BC23" s="5">
        <f t="shared" si="33"/>
        <v>7899.4117501499977</v>
      </c>
      <c r="BD23" s="5">
        <f t="shared" si="9"/>
        <v>8082.7468612335979</v>
      </c>
      <c r="BG23" s="5">
        <f t="shared" si="34"/>
        <v>4468.9541860499994</v>
      </c>
      <c r="BH23" s="5">
        <f t="shared" si="35"/>
        <v>4468.9541860499994</v>
      </c>
      <c r="BI23" s="5">
        <f t="shared" si="10"/>
        <v>4572.6728220751993</v>
      </c>
      <c r="BL23" s="5">
        <f t="shared" si="36"/>
        <v>3393.7779785999996</v>
      </c>
      <c r="BM23" s="5">
        <f t="shared" si="37"/>
        <v>3393.7779785999996</v>
      </c>
      <c r="BN23" s="5">
        <f t="shared" si="11"/>
        <v>3472.5431680063998</v>
      </c>
      <c r="BP23" s="5">
        <f t="shared" si="38"/>
        <v>0</v>
      </c>
      <c r="BQ23" s="5">
        <f t="shared" si="39"/>
        <v>719.71897019999994</v>
      </c>
      <c r="BR23" s="5">
        <f t="shared" si="40"/>
        <v>719.71897019999994</v>
      </c>
      <c r="BS23" s="5">
        <f t="shared" si="12"/>
        <v>736.42271492479995</v>
      </c>
      <c r="BX23" s="5">
        <f t="shared" si="13"/>
        <v>0</v>
      </c>
    </row>
    <row r="24" spans="1:77" x14ac:dyDescent="0.25">
      <c r="A24" s="29">
        <v>11414</v>
      </c>
      <c r="C24" s="3">
        <v>2465000</v>
      </c>
      <c r="D24" s="3">
        <v>126375</v>
      </c>
      <c r="E24" s="3">
        <f t="shared" si="0"/>
        <v>2591375</v>
      </c>
      <c r="F24" s="3">
        <v>129308</v>
      </c>
      <c r="H24" s="5">
        <f t="shared" si="52"/>
        <v>2465000</v>
      </c>
      <c r="I24" s="5">
        <f t="shared" si="14"/>
        <v>126374.99999999999</v>
      </c>
      <c r="J24" s="5">
        <f t="shared" si="15"/>
        <v>2591375</v>
      </c>
      <c r="K24" s="5">
        <f t="shared" si="14"/>
        <v>129307.99999999999</v>
      </c>
      <c r="M24" s="5">
        <f t="shared" si="16"/>
        <v>1048320.6377899998</v>
      </c>
      <c r="N24" s="5">
        <f t="shared" si="41"/>
        <v>53745.038783249991</v>
      </c>
      <c r="O24" s="5">
        <f t="shared" si="17"/>
        <v>1102065.6765732497</v>
      </c>
      <c r="P24" s="5">
        <f t="shared" si="1"/>
        <v>54992.391493447991</v>
      </c>
      <c r="R24" s="5">
        <f t="shared" si="18"/>
        <v>533763.60048399994</v>
      </c>
      <c r="S24" s="5">
        <f t="shared" si="19"/>
        <v>27364.8580167</v>
      </c>
      <c r="T24" s="5">
        <f t="shared" si="20"/>
        <v>561128.45850069996</v>
      </c>
      <c r="U24" s="5">
        <f t="shared" si="2"/>
        <v>27999.960913340801</v>
      </c>
      <c r="W24" s="5">
        <f t="shared" si="21"/>
        <v>91440.729921999984</v>
      </c>
      <c r="X24" s="5">
        <f t="shared" si="22"/>
        <v>4687.9603423499993</v>
      </c>
      <c r="Y24" s="5">
        <f t="shared" si="23"/>
        <v>96128.690264349978</v>
      </c>
      <c r="Z24" s="5">
        <f t="shared" si="3"/>
        <v>4796.7618274863989</v>
      </c>
      <c r="AB24" s="5">
        <f t="shared" si="42"/>
        <v>48587.21665599999</v>
      </c>
      <c r="AC24" s="5">
        <f t="shared" si="24"/>
        <v>2490.9572027999993</v>
      </c>
      <c r="AD24" s="5">
        <f t="shared" si="25"/>
        <v>51078.173858799986</v>
      </c>
      <c r="AE24" s="5">
        <f t="shared" si="4"/>
        <v>2548.7690918271996</v>
      </c>
      <c r="AG24" s="5">
        <f t="shared" si="43"/>
        <v>21314.176631999995</v>
      </c>
      <c r="AH24" s="5">
        <f t="shared" si="26"/>
        <v>1092.7298465999997</v>
      </c>
      <c r="AI24" s="5">
        <f t="shared" si="27"/>
        <v>22406.906478599994</v>
      </c>
      <c r="AJ24" s="5">
        <f t="shared" si="5"/>
        <v>1118.0906904383999</v>
      </c>
      <c r="AL24" s="5">
        <f t="shared" si="44"/>
        <v>135502.02909799997</v>
      </c>
      <c r="AM24" s="5">
        <f t="shared" si="28"/>
        <v>6946.8839461499983</v>
      </c>
      <c r="AN24" s="5">
        <f t="shared" si="29"/>
        <v>142448.91304414996</v>
      </c>
      <c r="AO24" s="5">
        <f t="shared" si="6"/>
        <v>7108.1121211375985</v>
      </c>
      <c r="AQ24" s="5">
        <f t="shared" si="45"/>
        <v>183202.72033599997</v>
      </c>
      <c r="AR24" s="5">
        <f t="shared" si="46"/>
        <v>9392.3909867999973</v>
      </c>
      <c r="AS24" s="5">
        <f t="shared" si="47"/>
        <v>192595.11132279996</v>
      </c>
      <c r="AT24" s="5">
        <f t="shared" si="7"/>
        <v>9610.3762114431975</v>
      </c>
      <c r="AV24" s="5">
        <f t="shared" si="48"/>
        <v>81382.898881999994</v>
      </c>
      <c r="AW24" s="5">
        <f t="shared" si="30"/>
        <v>4172.3179903499995</v>
      </c>
      <c r="AX24" s="5">
        <f t="shared" si="31"/>
        <v>85555.216872349993</v>
      </c>
      <c r="AY24" s="5">
        <f t="shared" si="8"/>
        <v>4269.1520846383992</v>
      </c>
      <c r="BA24" s="5">
        <f t="shared" si="49"/>
        <v>154081.50317799996</v>
      </c>
      <c r="BB24" s="5">
        <f t="shared" si="32"/>
        <v>7899.4117501499977</v>
      </c>
      <c r="BC24" s="5">
        <f t="shared" si="33"/>
        <v>161980.91492814996</v>
      </c>
      <c r="BD24" s="5">
        <f t="shared" si="9"/>
        <v>8082.7468612335979</v>
      </c>
      <c r="BF24" s="5">
        <f t="shared" si="50"/>
        <v>87168.918445999996</v>
      </c>
      <c r="BG24" s="5">
        <f t="shared" si="34"/>
        <v>4468.9541860499994</v>
      </c>
      <c r="BH24" s="5">
        <f t="shared" si="35"/>
        <v>91637.872632049999</v>
      </c>
      <c r="BI24" s="5">
        <f t="shared" si="10"/>
        <v>4572.6728220751993</v>
      </c>
      <c r="BK24" s="5">
        <f t="shared" si="51"/>
        <v>66197.133271999992</v>
      </c>
      <c r="BL24" s="5">
        <f t="shared" si="36"/>
        <v>3393.7779785999996</v>
      </c>
      <c r="BM24" s="5">
        <f t="shared" si="37"/>
        <v>69590.911250599995</v>
      </c>
      <c r="BN24" s="5">
        <f t="shared" si="11"/>
        <v>3472.5431680063998</v>
      </c>
      <c r="BP24" s="5">
        <f t="shared" si="38"/>
        <v>14038.435304000001</v>
      </c>
      <c r="BQ24" s="5">
        <f t="shared" si="39"/>
        <v>719.71897019999994</v>
      </c>
      <c r="BR24" s="5">
        <f t="shared" si="40"/>
        <v>14758.1542742</v>
      </c>
      <c r="BS24" s="5">
        <f t="shared" si="12"/>
        <v>736.42271492479995</v>
      </c>
      <c r="BX24" s="5">
        <f t="shared" si="13"/>
        <v>0</v>
      </c>
    </row>
    <row r="25" spans="1:77" x14ac:dyDescent="0.25">
      <c r="A25" s="29">
        <v>11597</v>
      </c>
      <c r="D25" s="3">
        <v>64750</v>
      </c>
      <c r="E25" s="3">
        <f t="shared" si="0"/>
        <v>64750</v>
      </c>
      <c r="F25" s="3">
        <v>129308</v>
      </c>
      <c r="I25" s="5">
        <f t="shared" si="14"/>
        <v>64749.999999999993</v>
      </c>
      <c r="J25" s="5">
        <f t="shared" si="15"/>
        <v>64749.999999999993</v>
      </c>
      <c r="K25" s="5">
        <f t="shared" si="14"/>
        <v>129307.99999999999</v>
      </c>
      <c r="M25" s="5">
        <f t="shared" si="16"/>
        <v>0</v>
      </c>
      <c r="N25" s="5">
        <f t="shared" si="41"/>
        <v>27537.022838499997</v>
      </c>
      <c r="O25" s="5">
        <f t="shared" si="17"/>
        <v>27537.022838499997</v>
      </c>
      <c r="P25" s="5">
        <f t="shared" si="1"/>
        <v>54992.391493447991</v>
      </c>
      <c r="R25" s="5">
        <f t="shared" si="18"/>
        <v>0</v>
      </c>
      <c r="S25" s="5">
        <f t="shared" si="19"/>
        <v>14020.7680046</v>
      </c>
      <c r="T25" s="5">
        <f t="shared" si="20"/>
        <v>14020.7680046</v>
      </c>
      <c r="U25" s="5">
        <f t="shared" si="2"/>
        <v>27999.960913340801</v>
      </c>
      <c r="W25" s="5">
        <f t="shared" si="21"/>
        <v>0</v>
      </c>
      <c r="X25" s="5">
        <f t="shared" si="22"/>
        <v>2401.9420942999996</v>
      </c>
      <c r="Y25" s="5">
        <f t="shared" si="23"/>
        <v>2401.9420942999996</v>
      </c>
      <c r="Z25" s="5">
        <f t="shared" si="3"/>
        <v>4796.7618274863989</v>
      </c>
      <c r="AC25" s="5">
        <f t="shared" si="24"/>
        <v>1276.2767863999998</v>
      </c>
      <c r="AD25" s="5">
        <f t="shared" si="25"/>
        <v>1276.2767863999998</v>
      </c>
      <c r="AE25" s="5">
        <f t="shared" si="4"/>
        <v>2548.7690918271996</v>
      </c>
      <c r="AH25" s="5">
        <f t="shared" si="26"/>
        <v>559.87543079999989</v>
      </c>
      <c r="AI25" s="5">
        <f t="shared" si="27"/>
        <v>559.87543079999989</v>
      </c>
      <c r="AJ25" s="5">
        <f t="shared" si="5"/>
        <v>1118.0906904383999</v>
      </c>
      <c r="AM25" s="5">
        <f t="shared" si="28"/>
        <v>3559.3332186999992</v>
      </c>
      <c r="AN25" s="5">
        <f t="shared" si="29"/>
        <v>3559.3332186999992</v>
      </c>
      <c r="AO25" s="5">
        <f t="shared" si="6"/>
        <v>7108.1121211375985</v>
      </c>
      <c r="AR25" s="5">
        <f t="shared" si="46"/>
        <v>4812.3229783999986</v>
      </c>
      <c r="AS25" s="5">
        <f t="shared" si="47"/>
        <v>4812.3229783999986</v>
      </c>
      <c r="AT25" s="5">
        <f t="shared" si="7"/>
        <v>9610.3762114431975</v>
      </c>
      <c r="AW25" s="5">
        <f t="shared" si="30"/>
        <v>2137.7455182999997</v>
      </c>
      <c r="AX25" s="5">
        <f t="shared" si="31"/>
        <v>2137.7455182999997</v>
      </c>
      <c r="AY25" s="5">
        <f t="shared" si="8"/>
        <v>4269.1520846383992</v>
      </c>
      <c r="BB25" s="5">
        <f t="shared" si="32"/>
        <v>4047.374170699999</v>
      </c>
      <c r="BC25" s="5">
        <f t="shared" si="33"/>
        <v>4047.374170699999</v>
      </c>
      <c r="BD25" s="5">
        <f t="shared" si="9"/>
        <v>8082.7468612335979</v>
      </c>
      <c r="BG25" s="5">
        <f t="shared" si="34"/>
        <v>2289.7312248999997</v>
      </c>
      <c r="BH25" s="5">
        <f t="shared" si="35"/>
        <v>2289.7312248999997</v>
      </c>
      <c r="BI25" s="5">
        <f t="shared" si="10"/>
        <v>4572.6728220751993</v>
      </c>
      <c r="BL25" s="5">
        <f t="shared" si="36"/>
        <v>1738.8496467999998</v>
      </c>
      <c r="BM25" s="5">
        <f t="shared" si="37"/>
        <v>1738.8496467999998</v>
      </c>
      <c r="BN25" s="5">
        <f t="shared" si="11"/>
        <v>3472.5431680063998</v>
      </c>
      <c r="BP25" s="5">
        <f t="shared" si="38"/>
        <v>0</v>
      </c>
      <c r="BQ25" s="5">
        <f t="shared" si="39"/>
        <v>368.75808760000001</v>
      </c>
      <c r="BR25" s="5">
        <f t="shared" si="40"/>
        <v>368.75808760000001</v>
      </c>
      <c r="BS25" s="5">
        <f t="shared" si="12"/>
        <v>736.42271492479995</v>
      </c>
      <c r="BX25" s="5">
        <f t="shared" si="13"/>
        <v>0</v>
      </c>
    </row>
    <row r="26" spans="1:77" x14ac:dyDescent="0.25">
      <c r="A26" s="29">
        <v>11780</v>
      </c>
      <c r="C26" s="3">
        <v>2590000</v>
      </c>
      <c r="D26" s="3">
        <v>64750</v>
      </c>
      <c r="E26" s="3">
        <f t="shared" si="0"/>
        <v>2654750</v>
      </c>
      <c r="F26" s="3">
        <v>129308</v>
      </c>
      <c r="H26" s="5">
        <f>M26+R26+W26+AB26+AL26+AQ26+AV26+BA26+BF26+BK26+BP26+BU26+AG26</f>
        <v>2589999.9999999991</v>
      </c>
      <c r="I26" s="5">
        <f t="shared" si="14"/>
        <v>64749.999999999993</v>
      </c>
      <c r="J26" s="5">
        <f t="shared" si="15"/>
        <v>2654749.9999999991</v>
      </c>
      <c r="K26" s="5">
        <f t="shared" si="14"/>
        <v>129307.99999999999</v>
      </c>
      <c r="M26" s="5">
        <f t="shared" si="16"/>
        <v>1101480.9135399999</v>
      </c>
      <c r="N26" s="5">
        <f t="shared" si="41"/>
        <v>27537.022838499997</v>
      </c>
      <c r="O26" s="5">
        <f t="shared" si="17"/>
        <v>1129017.9363785</v>
      </c>
      <c r="P26" s="5">
        <f t="shared" si="1"/>
        <v>54992.391493447991</v>
      </c>
      <c r="R26" s="5">
        <f t="shared" si="18"/>
        <v>560830.72018399998</v>
      </c>
      <c r="S26" s="5">
        <f t="shared" si="19"/>
        <v>14020.7680046</v>
      </c>
      <c r="T26" s="5">
        <f t="shared" si="20"/>
        <v>574851.48818859993</v>
      </c>
      <c r="U26" s="5">
        <f t="shared" si="2"/>
        <v>27999.960913340801</v>
      </c>
      <c r="W26" s="5">
        <f t="shared" si="21"/>
        <v>96077.683771999989</v>
      </c>
      <c r="X26" s="5">
        <f t="shared" si="22"/>
        <v>2401.9420942999996</v>
      </c>
      <c r="Y26" s="5">
        <f t="shared" si="23"/>
        <v>98479.62586629999</v>
      </c>
      <c r="Z26" s="5">
        <f t="shared" si="3"/>
        <v>4796.7618274863989</v>
      </c>
      <c r="AB26" s="5">
        <f t="shared" si="42"/>
        <v>51051.071455999991</v>
      </c>
      <c r="AC26" s="5">
        <f t="shared" si="24"/>
        <v>1276.2767863999998</v>
      </c>
      <c r="AD26" s="5">
        <f t="shared" si="25"/>
        <v>52327.348242399989</v>
      </c>
      <c r="AE26" s="5">
        <f t="shared" si="4"/>
        <v>2548.7690918271996</v>
      </c>
      <c r="AG26" s="5">
        <f t="shared" si="43"/>
        <v>22395.017231999995</v>
      </c>
      <c r="AH26" s="5">
        <f t="shared" si="26"/>
        <v>559.87543079999989</v>
      </c>
      <c r="AI26" s="5">
        <f t="shared" si="27"/>
        <v>22954.892662799994</v>
      </c>
      <c r="AJ26" s="5">
        <f t="shared" si="5"/>
        <v>1118.0906904383999</v>
      </c>
      <c r="AL26" s="5">
        <f t="shared" si="44"/>
        <v>142373.32874799997</v>
      </c>
      <c r="AM26" s="5">
        <f t="shared" si="28"/>
        <v>3559.3332186999992</v>
      </c>
      <c r="AN26" s="5">
        <f t="shared" si="29"/>
        <v>145932.66196669996</v>
      </c>
      <c r="AO26" s="5">
        <f t="shared" si="6"/>
        <v>7108.1121211375985</v>
      </c>
      <c r="AQ26" s="5">
        <f t="shared" si="45"/>
        <v>192492.91913599995</v>
      </c>
      <c r="AR26" s="5">
        <f t="shared" si="46"/>
        <v>4812.3229783999986</v>
      </c>
      <c r="AS26" s="5">
        <f t="shared" si="47"/>
        <v>197305.24211439994</v>
      </c>
      <c r="AT26" s="5">
        <f t="shared" si="7"/>
        <v>9610.3762114431975</v>
      </c>
      <c r="AV26" s="5">
        <f t="shared" si="48"/>
        <v>85509.820731999993</v>
      </c>
      <c r="AW26" s="5">
        <f t="shared" si="30"/>
        <v>2137.7455182999997</v>
      </c>
      <c r="AX26" s="5">
        <f t="shared" si="31"/>
        <v>87647.566250299991</v>
      </c>
      <c r="AY26" s="5">
        <f t="shared" si="8"/>
        <v>4269.1520846383992</v>
      </c>
      <c r="BA26" s="5">
        <f t="shared" si="49"/>
        <v>161894.96682799995</v>
      </c>
      <c r="BB26" s="5">
        <f t="shared" si="32"/>
        <v>4047.374170699999</v>
      </c>
      <c r="BC26" s="5">
        <f t="shared" si="33"/>
        <v>165942.34099869995</v>
      </c>
      <c r="BD26" s="5">
        <f t="shared" si="9"/>
        <v>8082.7468612335979</v>
      </c>
      <c r="BF26" s="5">
        <f t="shared" si="50"/>
        <v>91589.248995999995</v>
      </c>
      <c r="BG26" s="5">
        <f t="shared" si="34"/>
        <v>2289.7312248999997</v>
      </c>
      <c r="BH26" s="5">
        <f t="shared" si="35"/>
        <v>93878.98022089999</v>
      </c>
      <c r="BI26" s="5">
        <f t="shared" si="10"/>
        <v>4572.6728220751993</v>
      </c>
      <c r="BK26" s="5">
        <f t="shared" si="51"/>
        <v>69553.98587199999</v>
      </c>
      <c r="BL26" s="5">
        <f t="shared" si="36"/>
        <v>1738.8496467999998</v>
      </c>
      <c r="BM26" s="5">
        <f t="shared" si="37"/>
        <v>71292.835518799984</v>
      </c>
      <c r="BN26" s="5">
        <f t="shared" si="11"/>
        <v>3472.5431680063998</v>
      </c>
      <c r="BP26" s="5">
        <f t="shared" si="38"/>
        <v>14750.323504</v>
      </c>
      <c r="BQ26" s="5">
        <f t="shared" si="39"/>
        <v>368.75808760000001</v>
      </c>
      <c r="BR26" s="5">
        <f t="shared" si="40"/>
        <v>15119.081591599999</v>
      </c>
      <c r="BS26" s="5">
        <f t="shared" si="12"/>
        <v>736.42271492479995</v>
      </c>
      <c r="BX26" s="5">
        <f t="shared" si="13"/>
        <v>0</v>
      </c>
    </row>
    <row r="27" spans="1:77" x14ac:dyDescent="0.25">
      <c r="H27"/>
      <c r="I27"/>
      <c r="J27"/>
      <c r="K27"/>
      <c r="L27"/>
      <c r="M27"/>
      <c r="N27"/>
      <c r="O27"/>
      <c r="P27"/>
      <c r="Q27"/>
      <c r="R27"/>
      <c r="S27"/>
      <c r="T27"/>
      <c r="U27"/>
      <c r="V27"/>
      <c r="W27"/>
      <c r="X27"/>
      <c r="Y27"/>
      <c r="Z27"/>
      <c r="AA27"/>
      <c r="AB27"/>
      <c r="AC27"/>
      <c r="AD27"/>
      <c r="AE27"/>
      <c r="AF27"/>
      <c r="AG27"/>
      <c r="AH27"/>
      <c r="AI27"/>
      <c r="AJ27"/>
      <c r="AK27"/>
      <c r="AL27"/>
      <c r="AM27"/>
      <c r="AO27"/>
      <c r="AP27"/>
      <c r="AQ27"/>
      <c r="AR27"/>
      <c r="AT27"/>
      <c r="AU27"/>
      <c r="AV27"/>
      <c r="AW27"/>
      <c r="AY27"/>
      <c r="AZ27"/>
      <c r="BA27"/>
      <c r="BB27"/>
      <c r="BC27"/>
      <c r="BD27"/>
      <c r="BE27"/>
      <c r="BF27"/>
      <c r="BG27"/>
      <c r="BH27"/>
      <c r="BI27"/>
      <c r="BJ27"/>
      <c r="BK27"/>
      <c r="BL27"/>
      <c r="BM27"/>
      <c r="BN27"/>
      <c r="BO27"/>
      <c r="BP27"/>
      <c r="BQ27"/>
      <c r="BR27"/>
      <c r="BS27"/>
      <c r="BT27"/>
      <c r="BU27"/>
      <c r="BV27"/>
      <c r="BW27"/>
      <c r="BX27"/>
      <c r="BY27"/>
    </row>
    <row r="28" spans="1:77" ht="13.8" thickBot="1" x14ac:dyDescent="0.3">
      <c r="C28" s="32">
        <f>SUM(C9:C27)</f>
        <v>19315000</v>
      </c>
      <c r="D28" s="32">
        <f>SUM(D9:D27)</f>
        <v>5142250</v>
      </c>
      <c r="E28" s="32">
        <f>SUM(E9:E27)</f>
        <v>24457250</v>
      </c>
      <c r="F28" s="32">
        <f>SUM(F9:F27)</f>
        <v>2327537</v>
      </c>
      <c r="H28" s="32">
        <f>SUM(H9:H27)</f>
        <v>19314999.999999996</v>
      </c>
      <c r="I28" s="32">
        <f>SUM(I9:I27)</f>
        <v>5142250</v>
      </c>
      <c r="J28" s="32">
        <f>SUM(J9:J27)</f>
        <v>24457250</v>
      </c>
      <c r="K28" s="32">
        <f>SUM(K9:K27)</f>
        <v>2327536.9999999995</v>
      </c>
      <c r="M28" s="32">
        <f>SUM(M9:M27)</f>
        <v>8214325.80889</v>
      </c>
      <c r="N28" s="32">
        <f>SUM(N9:N27)</f>
        <v>2186907.4238034994</v>
      </c>
      <c r="O28" s="32">
        <f>SUM(O9:O27)</f>
        <v>10401233.232693499</v>
      </c>
      <c r="P28" s="32">
        <f>SUM(P9:P27)</f>
        <v>989860.06990662147</v>
      </c>
      <c r="Q28" s="3"/>
      <c r="R28" s="32">
        <f>SUM(R9:R27)</f>
        <v>4182411.3360439995</v>
      </c>
      <c r="S28" s="32">
        <f>SUM(S9:S27)</f>
        <v>1113487.1702185997</v>
      </c>
      <c r="T28" s="32">
        <f>SUM(T9:T27)</f>
        <v>5295898.5062625995</v>
      </c>
      <c r="U28" s="32">
        <f>SUM(U9:U27)</f>
        <v>503997.78068143112</v>
      </c>
      <c r="W28" s="32">
        <f>SUM(W9:W27)</f>
        <v>716502.10890199989</v>
      </c>
      <c r="X28" s="32">
        <f>SUM(X9:X27)</f>
        <v>190755.00748130004</v>
      </c>
      <c r="Y28" s="32">
        <f>SUM(Y9:Y27)</f>
        <v>907257.1163832997</v>
      </c>
      <c r="Z28" s="32">
        <f>SUM(Z9:Z27)</f>
        <v>86341.453225339559</v>
      </c>
      <c r="AB28" s="32">
        <f>SUM(AB9:AB27)</f>
        <v>380714.84369599994</v>
      </c>
      <c r="AC28" s="32">
        <f>SUM(AC9:AC27)</f>
        <v>101358.05876239999</v>
      </c>
      <c r="AD28" s="32">
        <f>SUM(AD9:AD27)</f>
        <v>482072.90245839988</v>
      </c>
      <c r="AE28" s="32">
        <f>SUM(AE9:AE27)</f>
        <v>45877.705677020778</v>
      </c>
      <c r="AG28" s="32">
        <f>SUM(AG9:AG27)</f>
        <v>167011.48951199997</v>
      </c>
      <c r="AH28" s="32">
        <f>SUM(AH9:AH27)</f>
        <v>44463.620602799987</v>
      </c>
      <c r="AI28" s="32">
        <f>SUM(AI9:AI27)</f>
        <v>211475.11011479999</v>
      </c>
      <c r="AJ28" s="32">
        <f>SUM(AJ9:AJ27)</f>
        <v>20125.571900817591</v>
      </c>
      <c r="AL28" s="32">
        <f>SUM(AL9:AL27)</f>
        <v>1061753.2219179999</v>
      </c>
      <c r="AM28" s="32">
        <f>SUM(AM9:AM27)</f>
        <v>282671.52500169998</v>
      </c>
      <c r="AN28" s="32">
        <f>SUM(AN9:AN27)</f>
        <v>1344424.7469196995</v>
      </c>
      <c r="AO28" s="32">
        <f>SUM(AO9:AO27)</f>
        <v>127945.63338769641</v>
      </c>
      <c r="AQ28" s="32">
        <f>SUM(AQ9:AQ27)</f>
        <v>1435521.5185759997</v>
      </c>
      <c r="AR28" s="32">
        <f>SUM(AR9:AR27)</f>
        <v>382180.19823440001</v>
      </c>
      <c r="AS28" s="32">
        <f>SUM(AS9:AS27)</f>
        <v>1817701.7168103997</v>
      </c>
      <c r="AT28" s="32">
        <f>SUM(AT9:AT27)</f>
        <v>172986.25155484476</v>
      </c>
      <c r="AV28" s="32">
        <f>SUM(AV9:AV27)</f>
        <v>637691.96426199982</v>
      </c>
      <c r="AW28" s="32">
        <f>SUM(AW9:AW27)</f>
        <v>169773.31106530005</v>
      </c>
      <c r="AX28" s="32">
        <f>SUM(AX9:AX27)</f>
        <v>807465.27532729995</v>
      </c>
      <c r="AY28" s="32">
        <f>SUM(AY9:AY27)</f>
        <v>76844.506415867596</v>
      </c>
      <c r="BA28" s="32">
        <f>SUM(BA9:BA27)</f>
        <v>1207336.4031979998</v>
      </c>
      <c r="BB28" s="32">
        <f>SUM(BB9:BB27)</f>
        <v>321430.26763369981</v>
      </c>
      <c r="BC28" s="32">
        <f>SUM(BC9:BC27)</f>
        <v>1528766.6708316994</v>
      </c>
      <c r="BD28" s="32">
        <f>SUM(BD9:BD27)</f>
        <v>145489.00594824034</v>
      </c>
      <c r="BF28" s="32">
        <f>SUM(BF9:BF27)</f>
        <v>683029.47658599995</v>
      </c>
      <c r="BG28" s="32">
        <f>SUM(BG9:BG27)</f>
        <v>181843.55816589997</v>
      </c>
      <c r="BH28" s="32">
        <f>SUM(BH9:BH27)</f>
        <v>864873.03475190001</v>
      </c>
      <c r="BI28" s="32">
        <f>SUM(BI9:BI27)</f>
        <v>82307.863258842772</v>
      </c>
      <c r="BK28" s="32">
        <f>SUM(BK9:BK27)</f>
        <v>518700.86375199998</v>
      </c>
      <c r="BL28" s="32">
        <f>SUM(BL9:BL27)</f>
        <v>138094.20225879998</v>
      </c>
      <c r="BM28" s="32">
        <f>SUM(BM9:BM27)</f>
        <v>656795.06601079984</v>
      </c>
      <c r="BN28" s="32">
        <f>SUM(BN9:BN27)</f>
        <v>62505.589040369596</v>
      </c>
      <c r="BP28" s="32">
        <f>SUM(BP9:BP27)</f>
        <v>110000.96466400001</v>
      </c>
      <c r="BQ28" s="32">
        <f>SUM(BQ9:BQ27)</f>
        <v>29285.656771599999</v>
      </c>
      <c r="BR28" s="32">
        <f>SUM(BR9:BR27)</f>
        <v>139286.62143559998</v>
      </c>
      <c r="BS28" s="32">
        <f>SUM(BS9:BS27)</f>
        <v>13255.569002907199</v>
      </c>
      <c r="BU28" s="32">
        <f>SUM(BU9:BU27)</f>
        <v>0</v>
      </c>
      <c r="BV28" s="32">
        <f>SUM(BV9:BV27)</f>
        <v>0</v>
      </c>
      <c r="BW28" s="32">
        <f>SUM(BW9:BW27)</f>
        <v>0</v>
      </c>
      <c r="BX28" s="32">
        <f>SUM(BX9:BX27)</f>
        <v>0</v>
      </c>
    </row>
    <row r="29" spans="1:77" ht="13.8" thickTop="1" x14ac:dyDescent="0.25">
      <c r="C29"/>
      <c r="D29"/>
      <c r="E29"/>
      <c r="F29"/>
    </row>
    <row r="30" spans="1:77" x14ac:dyDescent="0.25">
      <c r="C30"/>
      <c r="D30"/>
      <c r="E30"/>
      <c r="F30"/>
    </row>
    <row r="31" spans="1:77" x14ac:dyDescent="0.25">
      <c r="C31"/>
      <c r="D31"/>
      <c r="E31"/>
      <c r="F31"/>
    </row>
    <row r="32" spans="1:77" x14ac:dyDescent="0.25">
      <c r="C32"/>
      <c r="D32"/>
      <c r="E32"/>
      <c r="F32"/>
    </row>
    <row r="33" spans="3:6" x14ac:dyDescent="0.25">
      <c r="C33"/>
      <c r="D33"/>
      <c r="E33"/>
      <c r="F33"/>
    </row>
    <row r="34" spans="3:6" x14ac:dyDescent="0.25">
      <c r="C34"/>
      <c r="D34"/>
      <c r="E34"/>
      <c r="F34"/>
    </row>
  </sheetData>
  <pageMargins left="0.7" right="0.7" top="0.75" bottom="0.75" header="0.3" footer="0.3"/>
  <pageSetup scale="85" orientation="landscape" r:id="rId1"/>
  <colBreaks count="5" manualBreakCount="5">
    <brk id="16" max="1048575" man="1"/>
    <brk id="31" max="1048575" man="1"/>
    <brk id="46" max="1048575" man="1"/>
    <brk id="61" max="1048575" man="1"/>
    <brk id="7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P42"/>
  <sheetViews>
    <sheetView workbookViewId="0">
      <selection activeCell="U42" sqref="U42"/>
    </sheetView>
  </sheetViews>
  <sheetFormatPr defaultRowHeight="13.2" x14ac:dyDescent="0.25"/>
  <cols>
    <col min="2" max="2" width="10.44140625" customWidth="1"/>
    <col min="7" max="7" width="10.109375" customWidth="1"/>
  </cols>
  <sheetData>
    <row r="1" spans="1:15" x14ac:dyDescent="0.25">
      <c r="A1" s="124" t="s">
        <v>137</v>
      </c>
    </row>
    <row r="2" spans="1:15" x14ac:dyDescent="0.25">
      <c r="A2" s="124" t="s">
        <v>138</v>
      </c>
    </row>
    <row r="3" spans="1:15" x14ac:dyDescent="0.25">
      <c r="A3" s="124" t="s">
        <v>139</v>
      </c>
    </row>
    <row r="4" spans="1:15" x14ac:dyDescent="0.25">
      <c r="A4" s="125"/>
    </row>
    <row r="5" spans="1:15" x14ac:dyDescent="0.25">
      <c r="A5" s="125"/>
    </row>
    <row r="6" spans="1:15" ht="13.8" x14ac:dyDescent="0.25">
      <c r="A6" s="126" t="s">
        <v>140</v>
      </c>
      <c r="B6" s="5"/>
      <c r="C6" s="5"/>
      <c r="D6" s="5"/>
    </row>
    <row r="7" spans="1:15" ht="13.8" x14ac:dyDescent="0.25">
      <c r="A7" s="126"/>
      <c r="B7" s="5"/>
      <c r="C7" s="5"/>
      <c r="D7" s="5"/>
    </row>
    <row r="8" spans="1:15" ht="13.8" x14ac:dyDescent="0.25">
      <c r="A8" s="126"/>
      <c r="B8" s="127" t="s">
        <v>141</v>
      </c>
      <c r="C8" s="127"/>
      <c r="D8" s="128" t="s">
        <v>2</v>
      </c>
      <c r="E8" s="129">
        <f>B16</f>
        <v>0</v>
      </c>
    </row>
    <row r="9" spans="1:15" ht="13.8" x14ac:dyDescent="0.25">
      <c r="A9" s="126"/>
      <c r="B9" s="127"/>
      <c r="C9" s="127"/>
      <c r="D9" s="130" t="s">
        <v>3</v>
      </c>
      <c r="E9" s="131">
        <f>C16</f>
        <v>40745.750865161252</v>
      </c>
      <c r="O9" s="123"/>
    </row>
    <row r="10" spans="1:15" x14ac:dyDescent="0.25">
      <c r="B10" s="5"/>
      <c r="C10" s="5"/>
      <c r="D10" s="66" t="s">
        <v>136</v>
      </c>
    </row>
    <row r="11" spans="1:15" x14ac:dyDescent="0.25">
      <c r="B11" s="120"/>
      <c r="C11" s="120"/>
      <c r="D11" s="120"/>
    </row>
    <row r="12" spans="1:15" x14ac:dyDescent="0.25">
      <c r="B12" s="122" t="s">
        <v>135</v>
      </c>
      <c r="C12" s="113"/>
      <c r="D12" s="114"/>
    </row>
    <row r="13" spans="1:15" x14ac:dyDescent="0.25">
      <c r="B13" s="115">
        <v>4.9299213750000001E-2</v>
      </c>
      <c r="C13" s="109"/>
      <c r="D13" s="116"/>
    </row>
    <row r="14" spans="1:15" x14ac:dyDescent="0.25">
      <c r="B14" s="115"/>
      <c r="C14" s="117"/>
      <c r="D14" s="116"/>
    </row>
    <row r="15" spans="1:15" x14ac:dyDescent="0.25">
      <c r="B15" s="118" t="s">
        <v>2</v>
      </c>
      <c r="C15" s="118" t="s">
        <v>3</v>
      </c>
      <c r="D15" s="118" t="s">
        <v>4</v>
      </c>
    </row>
    <row r="16" spans="1:15" x14ac:dyDescent="0.25">
      <c r="A16" s="29">
        <v>44835</v>
      </c>
      <c r="B16" s="119"/>
      <c r="C16" s="119">
        <v>40745.750865161252</v>
      </c>
      <c r="D16" s="119">
        <v>40745.750865161252</v>
      </c>
    </row>
    <row r="17" spans="1:16" x14ac:dyDescent="0.25">
      <c r="B17" s="120"/>
      <c r="C17" s="120"/>
      <c r="D17" s="120">
        <v>0</v>
      </c>
    </row>
    <row r="18" spans="1:16" x14ac:dyDescent="0.25">
      <c r="B18" s="120"/>
      <c r="C18" s="120"/>
      <c r="D18" s="120">
        <v>0</v>
      </c>
    </row>
    <row r="19" spans="1:16" x14ac:dyDescent="0.25">
      <c r="B19" s="120"/>
      <c r="C19" s="120"/>
      <c r="D19" s="120">
        <v>0</v>
      </c>
    </row>
    <row r="21" spans="1:16" x14ac:dyDescent="0.25">
      <c r="B21" s="132" t="s">
        <v>142</v>
      </c>
      <c r="C21" s="132"/>
      <c r="D21" s="133" t="s">
        <v>2</v>
      </c>
      <c r="E21" s="134">
        <f>B28</f>
        <v>0</v>
      </c>
    </row>
    <row r="22" spans="1:16" x14ac:dyDescent="0.25">
      <c r="D22" s="135" t="s">
        <v>3</v>
      </c>
      <c r="E22" s="136">
        <f>C28</f>
        <v>-49638.383278680019</v>
      </c>
    </row>
    <row r="24" spans="1:16" x14ac:dyDescent="0.25">
      <c r="A24" s="9" t="s">
        <v>0</v>
      </c>
      <c r="B24" s="137" t="s">
        <v>143</v>
      </c>
      <c r="C24" s="138"/>
      <c r="D24" s="139"/>
    </row>
    <row r="25" spans="1:16" x14ac:dyDescent="0.25">
      <c r="A25" s="19" t="s">
        <v>1</v>
      </c>
      <c r="B25" s="140"/>
      <c r="C25" s="141"/>
      <c r="D25" s="142"/>
    </row>
    <row r="26" spans="1:16" x14ac:dyDescent="0.25">
      <c r="A26" s="19"/>
      <c r="B26" s="140"/>
      <c r="C26" s="143"/>
      <c r="D26" s="142"/>
    </row>
    <row r="27" spans="1:16" x14ac:dyDescent="0.25">
      <c r="A27" s="25"/>
      <c r="B27" s="144" t="s">
        <v>2</v>
      </c>
      <c r="C27" s="144" t="s">
        <v>3</v>
      </c>
      <c r="D27" s="144" t="s">
        <v>4</v>
      </c>
      <c r="L27" s="123" t="s">
        <v>146</v>
      </c>
      <c r="N27">
        <v>142783</v>
      </c>
      <c r="O27" s="123" t="s">
        <v>149</v>
      </c>
      <c r="P27" t="s">
        <v>147</v>
      </c>
    </row>
    <row r="28" spans="1:16" x14ac:dyDescent="0.25">
      <c r="A28" s="29">
        <v>44470</v>
      </c>
      <c r="B28" s="145"/>
      <c r="C28" s="145">
        <f>C40-H40</f>
        <v>-49638.383278680019</v>
      </c>
      <c r="D28" s="145">
        <v>61568.427400219181</v>
      </c>
    </row>
    <row r="29" spans="1:16" x14ac:dyDescent="0.25">
      <c r="B29" s="146"/>
      <c r="C29" s="146"/>
      <c r="D29" s="146"/>
      <c r="L29" s="123" t="s">
        <v>148</v>
      </c>
      <c r="N29">
        <v>40746</v>
      </c>
      <c r="O29" s="123" t="s">
        <v>150</v>
      </c>
    </row>
    <row r="30" spans="1:16" x14ac:dyDescent="0.25">
      <c r="B30" s="146"/>
      <c r="C30" s="146"/>
      <c r="D30" s="146"/>
    </row>
    <row r="31" spans="1:16" x14ac:dyDescent="0.25">
      <c r="B31" s="147"/>
      <c r="C31" s="147"/>
      <c r="D31" s="147">
        <v>0</v>
      </c>
      <c r="L31" s="123" t="s">
        <v>151</v>
      </c>
      <c r="N31">
        <v>93145</v>
      </c>
    </row>
    <row r="34" spans="1:16" x14ac:dyDescent="0.25">
      <c r="B34" s="66" t="s">
        <v>144</v>
      </c>
      <c r="C34" s="5"/>
      <c r="D34" s="5"/>
      <c r="G34" s="123" t="s">
        <v>145</v>
      </c>
      <c r="I34" s="123"/>
      <c r="M34" s="148" t="s">
        <v>149</v>
      </c>
      <c r="N34" s="121">
        <f>N27-N31</f>
        <v>49638</v>
      </c>
      <c r="O34" s="148" t="s">
        <v>152</v>
      </c>
      <c r="P34" s="121"/>
    </row>
    <row r="35" spans="1:16" x14ac:dyDescent="0.25">
      <c r="B35" s="5"/>
      <c r="C35" s="5"/>
      <c r="D35" s="111" t="s">
        <v>134</v>
      </c>
      <c r="M35" s="148" t="s">
        <v>150</v>
      </c>
      <c r="N35" s="121">
        <v>40746</v>
      </c>
      <c r="O35" s="148" t="s">
        <v>153</v>
      </c>
      <c r="P35" s="121"/>
    </row>
    <row r="36" spans="1:16" x14ac:dyDescent="0.25">
      <c r="B36" s="112" t="s">
        <v>5</v>
      </c>
      <c r="C36" s="113"/>
      <c r="D36" s="114"/>
      <c r="G36" s="34" t="s">
        <v>5</v>
      </c>
      <c r="H36" s="13"/>
      <c r="I36" s="14"/>
    </row>
    <row r="37" spans="1:16" x14ac:dyDescent="0.25">
      <c r="B37" s="115">
        <v>0.14801367239999999</v>
      </c>
      <c r="C37" s="109"/>
      <c r="D37" s="116"/>
      <c r="G37" s="35">
        <v>0.22689239999999999</v>
      </c>
      <c r="H37" s="8"/>
      <c r="I37" s="22"/>
    </row>
    <row r="38" spans="1:16" x14ac:dyDescent="0.25">
      <c r="B38" s="115"/>
      <c r="C38" s="117"/>
      <c r="D38" s="116"/>
      <c r="G38" s="35"/>
      <c r="H38" s="21"/>
      <c r="I38" s="22"/>
    </row>
    <row r="39" spans="1:16" x14ac:dyDescent="0.25">
      <c r="A39" s="29"/>
      <c r="B39" s="118" t="s">
        <v>2</v>
      </c>
      <c r="C39" s="118" t="s">
        <v>3</v>
      </c>
      <c r="D39" s="118" t="s">
        <v>4</v>
      </c>
      <c r="G39" s="26" t="s">
        <v>2</v>
      </c>
      <c r="H39" s="26" t="s">
        <v>3</v>
      </c>
      <c r="I39" s="26" t="s">
        <v>4</v>
      </c>
    </row>
    <row r="40" spans="1:16" x14ac:dyDescent="0.25">
      <c r="A40" s="29">
        <v>44470</v>
      </c>
      <c r="B40" s="119"/>
      <c r="C40" s="119">
        <v>93145.004041319989</v>
      </c>
      <c r="D40" s="119">
        <v>93145.004041319989</v>
      </c>
      <c r="G40" s="65"/>
      <c r="H40" s="65">
        <v>142783.38732000001</v>
      </c>
      <c r="I40" s="65">
        <v>142783.38732000001</v>
      </c>
    </row>
    <row r="41" spans="1:16" x14ac:dyDescent="0.25">
      <c r="A41" s="29"/>
      <c r="B41" s="120">
        <v>0</v>
      </c>
      <c r="C41" s="120">
        <v>0</v>
      </c>
      <c r="D41" s="120">
        <v>0</v>
      </c>
      <c r="G41" s="5">
        <v>0</v>
      </c>
      <c r="H41" s="5">
        <v>0</v>
      </c>
      <c r="I41" s="5">
        <v>0</v>
      </c>
    </row>
    <row r="42" spans="1:16" x14ac:dyDescent="0.25">
      <c r="A42" s="29"/>
      <c r="B42" s="120"/>
      <c r="C42" s="120">
        <v>0</v>
      </c>
      <c r="D42" s="120">
        <v>0</v>
      </c>
      <c r="G42" s="5"/>
      <c r="H42" s="5">
        <v>0</v>
      </c>
      <c r="I42" s="5">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61"/>
  <sheetViews>
    <sheetView zoomScale="92" zoomScaleNormal="92" workbookViewId="0">
      <pane xSplit="4" ySplit="11" topLeftCell="O12" activePane="bottomRight" state="frozen"/>
      <selection pane="topRight" activeCell="E1" sqref="E1"/>
      <selection pane="bottomLeft" activeCell="A12" sqref="A12"/>
      <selection pane="bottomRight" activeCell="E56" sqref="E56"/>
    </sheetView>
  </sheetViews>
  <sheetFormatPr defaultRowHeight="13.2" x14ac:dyDescent="0.25"/>
  <cols>
    <col min="1" max="1" width="8.88671875" customWidth="1"/>
    <col min="2" max="2" width="15.6640625" customWidth="1"/>
    <col min="3" max="3" width="36.5546875" customWidth="1"/>
    <col min="4" max="4" width="15.44140625" style="36" customWidth="1"/>
    <col min="5" max="5" width="15.5546875" style="36" customWidth="1"/>
    <col min="6" max="6" width="12.6640625" style="36" customWidth="1"/>
    <col min="7" max="7" width="10.88671875" style="36" hidden="1" customWidth="1"/>
    <col min="8" max="8" width="13" style="36" customWidth="1"/>
    <col min="9" max="9" width="14.33203125" style="36" customWidth="1"/>
    <col min="10" max="10" width="12.6640625" style="36" customWidth="1"/>
    <col min="11" max="11" width="13" style="36" customWidth="1"/>
    <col min="12" max="12" width="13.44140625" style="36" customWidth="1"/>
    <col min="13" max="13" width="11.33203125" style="36" customWidth="1"/>
    <col min="14" max="14" width="13.33203125" style="36" customWidth="1"/>
    <col min="15" max="15" width="12.6640625" style="36" customWidth="1"/>
    <col min="16" max="16" width="14.44140625" style="36" customWidth="1"/>
    <col min="17" max="17" width="12.6640625" style="36" customWidth="1"/>
    <col min="18" max="18" width="14.33203125" style="36" customWidth="1"/>
    <col min="19" max="19" width="12.6640625" style="8" customWidth="1"/>
    <col min="20" max="20" width="11.33203125" bestFit="1" customWidth="1"/>
  </cols>
  <sheetData>
    <row r="1" spans="1:19" x14ac:dyDescent="0.25">
      <c r="A1" s="64" t="s">
        <v>131</v>
      </c>
    </row>
    <row r="3" spans="1:19" x14ac:dyDescent="0.25">
      <c r="A3" s="37"/>
      <c r="B3" s="37"/>
      <c r="C3" s="37"/>
      <c r="D3" s="38"/>
      <c r="E3" s="38"/>
      <c r="F3" s="38"/>
      <c r="G3" s="38"/>
      <c r="H3" s="38"/>
      <c r="I3" s="38"/>
      <c r="J3" s="38"/>
      <c r="K3" s="38"/>
      <c r="L3" s="38"/>
      <c r="M3" s="38"/>
      <c r="N3" s="38"/>
      <c r="O3" s="38"/>
      <c r="P3" s="38"/>
      <c r="Q3" s="38"/>
      <c r="R3" s="91" t="s">
        <v>56</v>
      </c>
      <c r="S3" s="39" t="s">
        <v>7</v>
      </c>
    </row>
    <row r="4" spans="1:19" x14ac:dyDescent="0.25">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8" thickBot="1" x14ac:dyDescent="0.3">
      <c r="C5" s="43" t="s">
        <v>24</v>
      </c>
      <c r="D5" s="44">
        <f>D7+D9+D11</f>
        <v>115139503</v>
      </c>
      <c r="E5" s="44">
        <f t="shared" ref="E5:R5" si="0">E7+E9+E11</f>
        <v>50520369.100000001</v>
      </c>
      <c r="F5" s="44">
        <f t="shared" si="0"/>
        <v>5672310.3599999994</v>
      </c>
      <c r="G5" s="44">
        <f t="shared" si="0"/>
        <v>0</v>
      </c>
      <c r="H5" s="44">
        <f t="shared" si="0"/>
        <v>425847.85</v>
      </c>
      <c r="I5" s="44">
        <f t="shared" si="0"/>
        <v>98118.510000000009</v>
      </c>
      <c r="J5" s="44">
        <f t="shared" si="0"/>
        <v>141453.12</v>
      </c>
      <c r="K5" s="44">
        <f t="shared" si="0"/>
        <v>933706.54</v>
      </c>
      <c r="L5" s="44">
        <f t="shared" si="0"/>
        <v>1787021.7299999997</v>
      </c>
      <c r="M5" s="44">
        <f t="shared" si="0"/>
        <v>219768.88</v>
      </c>
      <c r="N5" s="44">
        <f t="shared" si="0"/>
        <v>676390.55999999994</v>
      </c>
      <c r="O5" s="44">
        <f t="shared" si="0"/>
        <v>205555.20000000001</v>
      </c>
      <c r="P5" s="44">
        <f t="shared" si="0"/>
        <v>515708.51</v>
      </c>
      <c r="Q5" s="44">
        <f t="shared" si="0"/>
        <v>96569.37</v>
      </c>
      <c r="R5" s="44">
        <f t="shared" si="0"/>
        <v>53846683.269999996</v>
      </c>
      <c r="S5" s="45"/>
    </row>
    <row r="6" spans="1:19" s="43" customFormat="1" ht="13.8" thickTop="1" x14ac:dyDescent="0.25">
      <c r="D6" s="48"/>
      <c r="E6" s="48"/>
      <c r="F6" s="48"/>
      <c r="G6" s="48"/>
      <c r="H6" s="48"/>
      <c r="I6" s="48"/>
      <c r="J6" s="48"/>
      <c r="K6" s="48"/>
      <c r="L6" s="48"/>
      <c r="M6" s="48"/>
      <c r="N6" s="48"/>
      <c r="O6" s="48"/>
      <c r="P6" s="48"/>
      <c r="Q6" s="48"/>
      <c r="R6" s="48"/>
      <c r="S6" s="55"/>
    </row>
    <row r="7" spans="1:19" s="43" customFormat="1" ht="13.8" thickBot="1" x14ac:dyDescent="0.3">
      <c r="C7" s="69" t="s">
        <v>76</v>
      </c>
      <c r="D7" s="44">
        <f>SUM(E7:R7)</f>
        <v>24999999.999999996</v>
      </c>
      <c r="E7" s="44">
        <f>E13</f>
        <v>3655309.83</v>
      </c>
      <c r="F7" s="44">
        <f>F14</f>
        <v>5672310.3599999994</v>
      </c>
      <c r="G7" s="44"/>
      <c r="H7" s="44">
        <f>H15</f>
        <v>425847.85</v>
      </c>
      <c r="I7" s="44">
        <f>I16</f>
        <v>98118.510000000009</v>
      </c>
      <c r="J7" s="44">
        <f>J17</f>
        <v>141453.12</v>
      </c>
      <c r="K7" s="44">
        <f>K18</f>
        <v>933706.54</v>
      </c>
      <c r="L7" s="44">
        <f>L19</f>
        <v>1787021.7299999997</v>
      </c>
      <c r="M7" s="44">
        <f>M21+M22</f>
        <v>219768.88</v>
      </c>
      <c r="N7" s="44">
        <f>N23</f>
        <v>676390.55999999994</v>
      </c>
      <c r="O7" s="44">
        <f>O24</f>
        <v>205555.20000000001</v>
      </c>
      <c r="P7" s="44">
        <f>P26</f>
        <v>515708.51</v>
      </c>
      <c r="Q7" s="44">
        <f>Q27</f>
        <v>96569.37</v>
      </c>
      <c r="R7" s="44">
        <f>R28</f>
        <v>10572239.539999999</v>
      </c>
      <c r="S7" s="45">
        <f>SUM(S13:S28)</f>
        <v>1</v>
      </c>
    </row>
    <row r="8" spans="1:19" s="43" customFormat="1" ht="13.8" thickTop="1" x14ac:dyDescent="0.25">
      <c r="D8" s="48"/>
      <c r="E8" s="48"/>
      <c r="F8" s="48"/>
      <c r="G8" s="48"/>
      <c r="H8" s="48"/>
      <c r="I8" s="48"/>
      <c r="J8" s="48"/>
      <c r="K8" s="48"/>
      <c r="L8" s="48"/>
      <c r="M8" s="48"/>
      <c r="N8" s="48"/>
      <c r="O8" s="48"/>
      <c r="P8" s="48"/>
      <c r="Q8" s="48"/>
      <c r="R8" s="48"/>
      <c r="S8" s="55"/>
    </row>
    <row r="9" spans="1:19" s="43" customFormat="1" ht="13.8" thickBot="1" x14ac:dyDescent="0.3">
      <c r="C9" s="69" t="s">
        <v>77</v>
      </c>
      <c r="D9" s="44">
        <f>SUM(E9:R9)</f>
        <v>40000000</v>
      </c>
      <c r="E9" s="44">
        <f>E29+E30+E31+E32+E44+E33+E45</f>
        <v>0</v>
      </c>
      <c r="F9" s="44">
        <f>F46</f>
        <v>0</v>
      </c>
      <c r="G9" s="44"/>
      <c r="H9" s="44">
        <f>H38+H37+H47</f>
        <v>0</v>
      </c>
      <c r="I9" s="44">
        <f>I39+I40+I48+I49+I50+I41</f>
        <v>0</v>
      </c>
      <c r="J9" s="44">
        <v>0</v>
      </c>
      <c r="K9" s="44">
        <f>K42</f>
        <v>0</v>
      </c>
      <c r="L9" s="44">
        <v>0</v>
      </c>
      <c r="M9" s="44">
        <v>0</v>
      </c>
      <c r="N9" s="44">
        <f>N43+N51</f>
        <v>0</v>
      </c>
      <c r="O9" s="44"/>
      <c r="P9" s="44">
        <f>P52+P53+P54</f>
        <v>0</v>
      </c>
      <c r="Q9" s="44">
        <v>0</v>
      </c>
      <c r="R9" s="44">
        <f>R55</f>
        <v>40000000</v>
      </c>
      <c r="S9" s="45">
        <f>SUM(S29:S55)</f>
        <v>1</v>
      </c>
    </row>
    <row r="10" spans="1:19" ht="13.8" thickTop="1" x14ac:dyDescent="0.25">
      <c r="A10" s="46"/>
      <c r="B10" s="2"/>
      <c r="C10" s="2"/>
      <c r="D10" s="47"/>
      <c r="E10" s="47"/>
      <c r="F10" s="47"/>
      <c r="G10" s="47"/>
      <c r="H10" s="47"/>
      <c r="I10" s="47"/>
      <c r="J10" s="47"/>
      <c r="K10" s="47"/>
      <c r="L10" s="47"/>
      <c r="M10" s="47"/>
      <c r="N10" s="47"/>
      <c r="O10" s="47"/>
      <c r="P10" s="47"/>
      <c r="Q10" s="47"/>
      <c r="R10" s="47"/>
    </row>
    <row r="11" spans="1:19" ht="13.8" thickBot="1" x14ac:dyDescent="0.3">
      <c r="A11" s="46"/>
      <c r="B11" s="2"/>
      <c r="C11" s="69" t="s">
        <v>88</v>
      </c>
      <c r="D11" s="44">
        <f>SUM(E11:R11)</f>
        <v>50139503</v>
      </c>
      <c r="E11" s="44">
        <f>E56+E57</f>
        <v>46865059.270000003</v>
      </c>
      <c r="F11" s="80"/>
      <c r="G11" s="80"/>
      <c r="H11" s="80"/>
      <c r="I11" s="80"/>
      <c r="J11" s="80"/>
      <c r="K11" s="80"/>
      <c r="L11" s="80"/>
      <c r="M11" s="80"/>
      <c r="N11" s="80"/>
      <c r="O11" s="80"/>
      <c r="P11" s="80"/>
      <c r="Q11" s="80"/>
      <c r="R11" s="80">
        <f>R58</f>
        <v>3274443.73</v>
      </c>
      <c r="S11" s="45">
        <f>S56+S57+S58</f>
        <v>1</v>
      </c>
    </row>
    <row r="12" spans="1:19" ht="13.8" thickTop="1" x14ac:dyDescent="0.25">
      <c r="A12" s="46"/>
      <c r="B12" s="2"/>
      <c r="C12" s="2"/>
      <c r="D12" s="47"/>
      <c r="E12" s="47"/>
      <c r="F12" s="47"/>
      <c r="G12" s="47"/>
      <c r="H12" s="47"/>
      <c r="I12" s="47"/>
      <c r="J12" s="47"/>
      <c r="K12" s="47"/>
      <c r="L12" s="47"/>
      <c r="M12" s="47"/>
      <c r="N12" s="47"/>
      <c r="O12" s="47"/>
      <c r="P12" s="47"/>
      <c r="Q12" s="47"/>
      <c r="R12" s="47"/>
    </row>
    <row r="13" spans="1:19" x14ac:dyDescent="0.25">
      <c r="A13" s="56" t="s">
        <v>11</v>
      </c>
      <c r="B13" s="56" t="s">
        <v>100</v>
      </c>
      <c r="C13" s="56" t="s">
        <v>32</v>
      </c>
      <c r="D13" s="36">
        <f t="shared" ref="D13:D26" si="1">SUM(E13:R13)</f>
        <v>3655309.83</v>
      </c>
      <c r="E13" s="48">
        <f>3655309.83</f>
        <v>3655309.83</v>
      </c>
      <c r="F13" s="47"/>
      <c r="G13" s="47"/>
      <c r="H13" s="47"/>
      <c r="I13" s="47"/>
      <c r="J13" s="47"/>
      <c r="K13" s="47"/>
      <c r="L13" s="47"/>
      <c r="M13" s="47"/>
      <c r="N13" s="47"/>
      <c r="O13" s="47"/>
      <c r="P13" s="47"/>
      <c r="Q13" s="47"/>
      <c r="R13" s="47"/>
      <c r="S13" s="8">
        <f>D13/D7</f>
        <v>0.14621239320000001</v>
      </c>
    </row>
    <row r="14" spans="1:19" x14ac:dyDescent="0.25">
      <c r="A14" s="2" t="s">
        <v>12</v>
      </c>
      <c r="B14" s="56" t="s">
        <v>121</v>
      </c>
      <c r="C14" s="56" t="s">
        <v>32</v>
      </c>
      <c r="D14" s="36">
        <f t="shared" si="1"/>
        <v>5672310.3599999994</v>
      </c>
      <c r="E14" s="48"/>
      <c r="F14" s="48">
        <f>152452.86+1971968.55+345135.5+983461.58+804251.74+565487.21+550888.27+89533.01+16004.89+65342.71+87837.97+11117.16+14969.81+13859.1</f>
        <v>5672310.3599999994</v>
      </c>
      <c r="G14" s="47"/>
      <c r="H14" s="47"/>
      <c r="I14" s="47"/>
      <c r="J14" s="47"/>
      <c r="K14" s="47"/>
      <c r="L14" s="47"/>
      <c r="M14" s="47"/>
      <c r="N14" s="47"/>
      <c r="O14" s="47"/>
      <c r="P14" s="47"/>
      <c r="Q14" s="47"/>
      <c r="R14" s="47"/>
      <c r="S14" s="8">
        <f>D14/D7</f>
        <v>0.22689241440000002</v>
      </c>
    </row>
    <row r="15" spans="1:19" x14ac:dyDescent="0.25">
      <c r="A15" s="2" t="s">
        <v>14</v>
      </c>
      <c r="B15" s="56" t="s">
        <v>122</v>
      </c>
      <c r="C15" s="56" t="s">
        <v>32</v>
      </c>
      <c r="D15" s="36">
        <f t="shared" si="1"/>
        <v>425847.85</v>
      </c>
      <c r="E15" s="48"/>
      <c r="F15" s="48"/>
      <c r="G15" s="47"/>
      <c r="H15" s="48">
        <f>424374.56+1473.29</f>
        <v>425847.85</v>
      </c>
      <c r="I15" s="47"/>
      <c r="J15" s="47"/>
      <c r="K15" s="47"/>
      <c r="L15" s="47"/>
      <c r="M15" s="47"/>
      <c r="N15" s="47"/>
      <c r="O15" s="47"/>
      <c r="P15" s="47"/>
      <c r="Q15" s="47"/>
      <c r="R15" s="47"/>
      <c r="S15" s="8">
        <f>D15/D7</f>
        <v>1.7033914000000001E-2</v>
      </c>
    </row>
    <row r="16" spans="1:19" x14ac:dyDescent="0.25">
      <c r="A16" s="2" t="s">
        <v>15</v>
      </c>
      <c r="B16" s="56" t="s">
        <v>120</v>
      </c>
      <c r="C16" s="56" t="s">
        <v>32</v>
      </c>
      <c r="D16" s="36">
        <f t="shared" si="1"/>
        <v>98118.510000000009</v>
      </c>
      <c r="E16" s="48"/>
      <c r="F16" s="48"/>
      <c r="G16" s="47"/>
      <c r="H16" s="48"/>
      <c r="I16" s="48">
        <f>3875.8+55124.8+39117.91</f>
        <v>98118.510000000009</v>
      </c>
      <c r="J16" s="47"/>
      <c r="K16" s="47"/>
      <c r="L16" s="47"/>
      <c r="M16" s="47"/>
      <c r="N16" s="47"/>
      <c r="O16" s="47"/>
      <c r="P16" s="47"/>
      <c r="Q16" s="47"/>
      <c r="R16" s="47"/>
      <c r="S16" s="8">
        <f>D16/D7</f>
        <v>3.9247404000000014E-3</v>
      </c>
    </row>
    <row r="17" spans="1:20" x14ac:dyDescent="0.25">
      <c r="A17" s="2" t="s">
        <v>16</v>
      </c>
      <c r="B17" s="56" t="s">
        <v>84</v>
      </c>
      <c r="C17" s="56" t="s">
        <v>32</v>
      </c>
      <c r="D17" s="36">
        <f t="shared" si="1"/>
        <v>141453.12</v>
      </c>
      <c r="E17" s="48"/>
      <c r="F17" s="48"/>
      <c r="G17" s="47"/>
      <c r="H17" s="48"/>
      <c r="I17" s="47"/>
      <c r="J17" s="48">
        <f>141453.12</f>
        <v>141453.12</v>
      </c>
      <c r="K17" s="48"/>
      <c r="L17" s="47"/>
      <c r="M17" s="47"/>
      <c r="N17" s="47"/>
      <c r="O17" s="47"/>
      <c r="P17" s="47"/>
      <c r="Q17" s="47"/>
      <c r="R17" s="47"/>
      <c r="S17" s="8">
        <f>D17/D7</f>
        <v>5.6581248000000008E-3</v>
      </c>
    </row>
    <row r="18" spans="1:20" x14ac:dyDescent="0.25">
      <c r="A18" s="2" t="s">
        <v>56</v>
      </c>
      <c r="B18" s="56" t="s">
        <v>54</v>
      </c>
      <c r="C18" s="56" t="s">
        <v>36</v>
      </c>
      <c r="D18" s="36">
        <f t="shared" si="1"/>
        <v>933706.54</v>
      </c>
      <c r="E18" s="48"/>
      <c r="F18" s="48"/>
      <c r="G18" s="47"/>
      <c r="H18" s="48"/>
      <c r="I18" s="47"/>
      <c r="J18" s="48"/>
      <c r="K18" s="48">
        <f>933706.54</f>
        <v>933706.54</v>
      </c>
      <c r="L18" s="47"/>
      <c r="M18" s="47"/>
      <c r="N18" s="47"/>
      <c r="O18" s="47"/>
      <c r="P18" s="47"/>
      <c r="Q18" s="47"/>
      <c r="R18" s="47"/>
      <c r="S18" s="8">
        <f>D18/D7</f>
        <v>3.7348261600000009E-2</v>
      </c>
    </row>
    <row r="19" spans="1:20" x14ac:dyDescent="0.25">
      <c r="A19" s="2" t="s">
        <v>17</v>
      </c>
      <c r="B19" s="56" t="s">
        <v>128</v>
      </c>
      <c r="C19" s="56" t="s">
        <v>32</v>
      </c>
      <c r="D19" s="36">
        <f t="shared" si="1"/>
        <v>1787021.7299999997</v>
      </c>
      <c r="E19" s="48"/>
      <c r="F19" s="48"/>
      <c r="G19" s="47"/>
      <c r="H19" s="48"/>
      <c r="I19" s="47"/>
      <c r="J19" s="48"/>
      <c r="K19" s="48"/>
      <c r="L19" s="48">
        <f>1437979.34+1209.39+273848.11+73984.89</f>
        <v>1787021.7299999997</v>
      </c>
      <c r="M19" s="47"/>
      <c r="N19" s="47"/>
      <c r="O19" s="47"/>
      <c r="P19" s="47"/>
      <c r="Q19" s="47"/>
      <c r="R19" s="47"/>
      <c r="S19" s="8">
        <f>D19/D7</f>
        <v>7.1480869200000005E-2</v>
      </c>
    </row>
    <row r="20" spans="1:20" hidden="1" x14ac:dyDescent="0.25">
      <c r="A20" s="2" t="s">
        <v>17</v>
      </c>
      <c r="B20" s="2" t="s">
        <v>37</v>
      </c>
      <c r="C20" s="2" t="s">
        <v>38</v>
      </c>
      <c r="D20" s="36">
        <f t="shared" si="1"/>
        <v>0</v>
      </c>
      <c r="E20" s="48"/>
      <c r="F20" s="47"/>
      <c r="G20" s="47"/>
      <c r="H20" s="47"/>
      <c r="I20" s="47"/>
      <c r="J20" s="47"/>
      <c r="K20" s="47"/>
      <c r="L20" s="48"/>
      <c r="M20" s="47"/>
      <c r="N20" s="47"/>
      <c r="O20" s="47"/>
      <c r="P20" s="47"/>
      <c r="Q20" s="47"/>
      <c r="R20" s="47"/>
      <c r="S20" s="8">
        <f>D20/D15</f>
        <v>0</v>
      </c>
    </row>
    <row r="21" spans="1:20" x14ac:dyDescent="0.25">
      <c r="A21" s="2" t="s">
        <v>18</v>
      </c>
      <c r="B21" s="56" t="s">
        <v>123</v>
      </c>
      <c r="C21" s="56" t="s">
        <v>32</v>
      </c>
      <c r="D21" s="36">
        <f t="shared" si="1"/>
        <v>219768.88</v>
      </c>
      <c r="E21" s="48"/>
      <c r="F21" s="47"/>
      <c r="G21" s="47"/>
      <c r="H21" s="47"/>
      <c r="I21" s="47"/>
      <c r="J21" s="47"/>
      <c r="K21" s="47"/>
      <c r="L21" s="48"/>
      <c r="M21" s="48">
        <f>219768.88</f>
        <v>219768.88</v>
      </c>
      <c r="N21" s="47"/>
      <c r="O21" s="47"/>
      <c r="P21" s="47"/>
      <c r="Q21" s="47"/>
      <c r="R21" s="47"/>
      <c r="S21" s="8">
        <f>D21/D7</f>
        <v>8.7907552000000017E-3</v>
      </c>
    </row>
    <row r="22" spans="1:20" hidden="1" x14ac:dyDescent="0.25">
      <c r="A22" s="56" t="s">
        <v>18</v>
      </c>
      <c r="B22" s="56" t="s">
        <v>80</v>
      </c>
      <c r="C22" s="56" t="s">
        <v>36</v>
      </c>
      <c r="D22" s="36">
        <f t="shared" si="1"/>
        <v>0</v>
      </c>
      <c r="E22" s="48"/>
      <c r="F22" s="47"/>
      <c r="G22" s="47"/>
      <c r="H22" s="47"/>
      <c r="I22" s="47"/>
      <c r="J22" s="47"/>
      <c r="K22" s="47"/>
      <c r="L22" s="48"/>
      <c r="M22" s="48"/>
      <c r="N22" s="47"/>
      <c r="O22" s="47"/>
      <c r="P22" s="47"/>
      <c r="Q22" s="47"/>
      <c r="R22" s="47"/>
      <c r="S22" s="8">
        <f>D22/D7</f>
        <v>0</v>
      </c>
    </row>
    <row r="23" spans="1:20" x14ac:dyDescent="0.25">
      <c r="A23" s="2" t="s">
        <v>19</v>
      </c>
      <c r="B23" s="56" t="s">
        <v>124</v>
      </c>
      <c r="C23" s="56" t="s">
        <v>32</v>
      </c>
      <c r="D23" s="36">
        <f t="shared" si="1"/>
        <v>676390.55999999994</v>
      </c>
      <c r="E23" s="48"/>
      <c r="F23" s="47"/>
      <c r="G23" s="47"/>
      <c r="H23" s="47"/>
      <c r="I23" s="47"/>
      <c r="J23" s="47"/>
      <c r="K23" s="47"/>
      <c r="L23" s="48"/>
      <c r="M23" s="48"/>
      <c r="N23" s="48">
        <f>59091.83+257025.13+212943.8+60038.35+33258.36+44154.12+9878.97</f>
        <v>676390.55999999994</v>
      </c>
      <c r="O23" s="47"/>
      <c r="P23" s="47"/>
      <c r="Q23" s="47"/>
      <c r="R23" s="47"/>
      <c r="S23" s="8">
        <f>D23/D7</f>
        <v>2.7055622400000003E-2</v>
      </c>
    </row>
    <row r="24" spans="1:20" x14ac:dyDescent="0.25">
      <c r="A24" s="2" t="s">
        <v>20</v>
      </c>
      <c r="B24" s="56" t="s">
        <v>125</v>
      </c>
      <c r="C24" s="56" t="s">
        <v>32</v>
      </c>
      <c r="D24" s="36">
        <f t="shared" si="1"/>
        <v>205555.20000000001</v>
      </c>
      <c r="E24" s="48"/>
      <c r="F24" s="47"/>
      <c r="G24" s="47"/>
      <c r="H24" s="47"/>
      <c r="I24" s="47"/>
      <c r="J24" s="47"/>
      <c r="K24" s="47"/>
      <c r="L24" s="48"/>
      <c r="M24" s="48"/>
      <c r="N24" s="48"/>
      <c r="O24" s="48">
        <f>112782.78+90553.17+2219.25</f>
        <v>205555.20000000001</v>
      </c>
      <c r="P24" s="47"/>
      <c r="Q24" s="47"/>
      <c r="R24" s="47"/>
      <c r="S24" s="8">
        <f>D24/D7</f>
        <v>8.2222080000000017E-3</v>
      </c>
    </row>
    <row r="25" spans="1:20" hidden="1" x14ac:dyDescent="0.25">
      <c r="A25" s="2" t="s">
        <v>20</v>
      </c>
      <c r="B25" s="2" t="s">
        <v>33</v>
      </c>
      <c r="C25" s="2" t="s">
        <v>35</v>
      </c>
      <c r="D25" s="36">
        <f t="shared" si="1"/>
        <v>0</v>
      </c>
      <c r="E25" s="48"/>
      <c r="F25" s="47"/>
      <c r="G25" s="47"/>
      <c r="H25" s="47"/>
      <c r="I25" s="47"/>
      <c r="J25" s="47"/>
      <c r="K25" s="47"/>
      <c r="L25" s="48"/>
      <c r="M25" s="48"/>
      <c r="N25" s="48"/>
      <c r="O25" s="48"/>
      <c r="P25" s="47"/>
      <c r="Q25" s="47"/>
      <c r="R25" s="47"/>
      <c r="S25" s="8">
        <f>D25/D21</f>
        <v>0</v>
      </c>
    </row>
    <row r="26" spans="1:20" x14ac:dyDescent="0.25">
      <c r="A26" s="2" t="s">
        <v>21</v>
      </c>
      <c r="B26" s="56" t="s">
        <v>126</v>
      </c>
      <c r="C26" s="56" t="s">
        <v>32</v>
      </c>
      <c r="D26" s="36">
        <f t="shared" si="1"/>
        <v>515708.51</v>
      </c>
      <c r="E26" s="48"/>
      <c r="F26" s="47"/>
      <c r="G26" s="47"/>
      <c r="H26" s="47"/>
      <c r="I26" s="47"/>
      <c r="J26" s="47"/>
      <c r="K26" s="47"/>
      <c r="L26" s="48"/>
      <c r="M26" s="48"/>
      <c r="N26" s="48"/>
      <c r="O26" s="47"/>
      <c r="P26" s="48">
        <f>227724.27+177963.86+60080+16367.87+33572.51</f>
        <v>515708.51</v>
      </c>
      <c r="Q26" s="47"/>
      <c r="R26" s="47"/>
      <c r="S26" s="8">
        <f>D26/D7</f>
        <v>2.0628340400000004E-2</v>
      </c>
    </row>
    <row r="27" spans="1:20" x14ac:dyDescent="0.25">
      <c r="A27" s="2" t="s">
        <v>22</v>
      </c>
      <c r="B27" s="56" t="s">
        <v>127</v>
      </c>
      <c r="C27" s="56" t="s">
        <v>32</v>
      </c>
      <c r="D27" s="36">
        <f>SUM(E27:R27)</f>
        <v>96569.37</v>
      </c>
      <c r="E27" s="48"/>
      <c r="F27" s="47"/>
      <c r="G27" s="47"/>
      <c r="H27" s="47"/>
      <c r="I27" s="47"/>
      <c r="J27" s="47"/>
      <c r="K27" s="47"/>
      <c r="L27" s="48"/>
      <c r="M27" s="48"/>
      <c r="N27" s="48"/>
      <c r="O27" s="47"/>
      <c r="P27" s="48"/>
      <c r="Q27" s="48">
        <f>26972.83+69596.54</f>
        <v>96569.37</v>
      </c>
      <c r="R27" s="48"/>
      <c r="S27" s="8">
        <f>D27/D7</f>
        <v>3.8627748000000005E-3</v>
      </c>
      <c r="T27" s="8"/>
    </row>
    <row r="28" spans="1:20" ht="13.8" thickBot="1" x14ac:dyDescent="0.3">
      <c r="A28" s="94"/>
      <c r="B28" s="95"/>
      <c r="C28" s="102" t="s">
        <v>97</v>
      </c>
      <c r="D28" s="96">
        <f>SUM(E28:R28)</f>
        <v>10572239.539999999</v>
      </c>
      <c r="E28" s="97"/>
      <c r="F28" s="98"/>
      <c r="G28" s="98"/>
      <c r="H28" s="98"/>
      <c r="I28" s="98"/>
      <c r="J28" s="98"/>
      <c r="K28" s="98"/>
      <c r="L28" s="97"/>
      <c r="M28" s="97"/>
      <c r="N28" s="97"/>
      <c r="O28" s="98"/>
      <c r="P28" s="97"/>
      <c r="Q28" s="97"/>
      <c r="R28" s="97">
        <v>10572239.539999999</v>
      </c>
      <c r="S28" s="99">
        <f>D28/D7</f>
        <v>0.42288958160000001</v>
      </c>
      <c r="T28" s="8"/>
    </row>
    <row r="29" spans="1:20" x14ac:dyDescent="0.25">
      <c r="A29" s="56" t="s">
        <v>11</v>
      </c>
      <c r="B29" s="56" t="s">
        <v>92</v>
      </c>
      <c r="C29" s="56" t="s">
        <v>89</v>
      </c>
      <c r="D29" s="36">
        <f>SUM(E29:Q29)</f>
        <v>0</v>
      </c>
      <c r="E29" s="48"/>
      <c r="F29" s="47"/>
      <c r="G29" s="47"/>
      <c r="H29" s="47"/>
      <c r="I29" s="47"/>
      <c r="J29" s="47"/>
      <c r="K29" s="47"/>
      <c r="L29" s="47"/>
      <c r="M29" s="47"/>
      <c r="N29" s="47"/>
      <c r="O29" s="47"/>
      <c r="P29" s="47"/>
      <c r="Q29" s="47"/>
      <c r="R29" s="47"/>
      <c r="S29" s="8">
        <f>D29/$D$9</f>
        <v>0</v>
      </c>
    </row>
    <row r="30" spans="1:20" x14ac:dyDescent="0.25">
      <c r="A30" s="56" t="s">
        <v>11</v>
      </c>
      <c r="B30" s="56" t="s">
        <v>92</v>
      </c>
      <c r="C30" s="56" t="s">
        <v>90</v>
      </c>
      <c r="D30" s="36">
        <f>SUM(E30:Q30)</f>
        <v>0</v>
      </c>
      <c r="E30" s="48"/>
      <c r="F30" s="47"/>
      <c r="G30" s="47"/>
      <c r="H30" s="47"/>
      <c r="I30" s="47"/>
      <c r="J30" s="47"/>
      <c r="K30" s="47"/>
      <c r="L30" s="47"/>
      <c r="M30" s="47"/>
      <c r="N30" s="47"/>
      <c r="O30" s="47"/>
      <c r="P30" s="47"/>
      <c r="Q30" s="47"/>
      <c r="R30" s="47"/>
      <c r="S30" s="8">
        <f>D30/$D$9</f>
        <v>0</v>
      </c>
    </row>
    <row r="31" spans="1:20" x14ac:dyDescent="0.25">
      <c r="A31" s="56" t="s">
        <v>11</v>
      </c>
      <c r="B31" s="56" t="s">
        <v>92</v>
      </c>
      <c r="C31" s="56" t="s">
        <v>91</v>
      </c>
      <c r="D31" s="36">
        <f>SUM(E31:Q31)</f>
        <v>0</v>
      </c>
      <c r="E31" s="48"/>
      <c r="F31" s="47"/>
      <c r="G31" s="47"/>
      <c r="H31" s="47"/>
      <c r="I31" s="47"/>
      <c r="J31" s="47"/>
      <c r="K31" s="47"/>
      <c r="L31" s="47"/>
      <c r="M31" s="47"/>
      <c r="N31" s="47"/>
      <c r="O31" s="47"/>
      <c r="P31" s="47"/>
      <c r="Q31" s="47"/>
      <c r="R31" s="47"/>
      <c r="S31" s="8">
        <f>D31/$D$9</f>
        <v>0</v>
      </c>
    </row>
    <row r="32" spans="1:20" x14ac:dyDescent="0.25">
      <c r="A32" s="56" t="s">
        <v>11</v>
      </c>
      <c r="B32" s="56" t="s">
        <v>94</v>
      </c>
      <c r="C32" s="56" t="s">
        <v>34</v>
      </c>
      <c r="D32" s="36">
        <f>SUM(E32:Q32)</f>
        <v>0</v>
      </c>
      <c r="E32" s="48"/>
      <c r="F32" s="47"/>
      <c r="G32" s="47"/>
      <c r="H32" s="47"/>
      <c r="I32" s="47"/>
      <c r="J32" s="47"/>
      <c r="K32" s="47"/>
      <c r="L32" s="47"/>
      <c r="M32" s="47"/>
      <c r="N32" s="47"/>
      <c r="O32" s="47"/>
      <c r="P32" s="47"/>
      <c r="Q32" s="47"/>
      <c r="R32" s="47"/>
      <c r="S32" s="8">
        <f t="shared" ref="S32:S54" si="2">D32/$D$9</f>
        <v>0</v>
      </c>
    </row>
    <row r="33" spans="1:20" x14ac:dyDescent="0.25">
      <c r="A33" s="56" t="s">
        <v>11</v>
      </c>
      <c r="B33" s="56" t="s">
        <v>100</v>
      </c>
      <c r="C33" s="56" t="s">
        <v>101</v>
      </c>
      <c r="D33" s="36">
        <f t="shared" ref="D33:D52" si="3">SUM(E33:Q33)</f>
        <v>0</v>
      </c>
      <c r="E33" s="48"/>
      <c r="F33" s="47"/>
      <c r="G33" s="47"/>
      <c r="H33" s="47"/>
      <c r="I33" s="47"/>
      <c r="J33" s="47"/>
      <c r="K33" s="47"/>
      <c r="L33" s="47"/>
      <c r="M33" s="47"/>
      <c r="N33" s="47"/>
      <c r="O33" s="47"/>
      <c r="P33" s="47"/>
      <c r="Q33" s="47"/>
      <c r="R33" s="47"/>
      <c r="S33" s="8">
        <f t="shared" si="2"/>
        <v>0</v>
      </c>
    </row>
    <row r="34" spans="1:20" hidden="1" x14ac:dyDescent="0.25">
      <c r="A34" s="56" t="s">
        <v>11</v>
      </c>
      <c r="B34" s="56"/>
      <c r="C34" s="56"/>
      <c r="D34" s="36">
        <f t="shared" si="3"/>
        <v>0</v>
      </c>
      <c r="E34" s="48"/>
      <c r="F34" s="47"/>
      <c r="G34" s="47"/>
      <c r="H34" s="47"/>
      <c r="I34" s="47"/>
      <c r="J34" s="47"/>
      <c r="K34" s="47"/>
      <c r="L34" s="47"/>
      <c r="M34" s="47"/>
      <c r="N34" s="47"/>
      <c r="O34" s="47"/>
      <c r="P34" s="47"/>
      <c r="Q34" s="47"/>
      <c r="R34" s="47"/>
      <c r="S34" s="8">
        <f t="shared" si="2"/>
        <v>0</v>
      </c>
    </row>
    <row r="35" spans="1:20" hidden="1" x14ac:dyDescent="0.25">
      <c r="A35" s="2" t="s">
        <v>12</v>
      </c>
      <c r="B35" s="56" t="s">
        <v>39</v>
      </c>
      <c r="C35" s="2" t="s">
        <v>36</v>
      </c>
      <c r="D35" s="36">
        <f t="shared" si="3"/>
        <v>0</v>
      </c>
      <c r="E35" s="48"/>
      <c r="F35" s="48"/>
      <c r="G35" s="48"/>
      <c r="H35" s="47"/>
      <c r="I35" s="47"/>
      <c r="J35" s="47"/>
      <c r="K35" s="47"/>
      <c r="L35" s="47"/>
      <c r="M35" s="47"/>
      <c r="N35" s="47"/>
      <c r="O35" s="47"/>
      <c r="P35" s="47"/>
      <c r="Q35" s="47"/>
      <c r="R35" s="47"/>
      <c r="S35" s="8">
        <f t="shared" si="2"/>
        <v>0</v>
      </c>
    </row>
    <row r="36" spans="1:20" hidden="1" x14ac:dyDescent="0.25">
      <c r="A36" s="2" t="s">
        <v>13</v>
      </c>
      <c r="B36" s="56" t="s">
        <v>40</v>
      </c>
      <c r="C36" s="2" t="s">
        <v>36</v>
      </c>
      <c r="D36" s="36">
        <f t="shared" si="3"/>
        <v>0</v>
      </c>
      <c r="E36" s="48"/>
      <c r="F36" s="48"/>
      <c r="G36" s="48"/>
      <c r="H36" s="47"/>
      <c r="I36" s="47"/>
      <c r="J36" s="47"/>
      <c r="K36" s="47"/>
      <c r="L36" s="47"/>
      <c r="M36" s="47"/>
      <c r="N36" s="47"/>
      <c r="O36" s="47"/>
      <c r="P36" s="47"/>
      <c r="Q36" s="47"/>
      <c r="R36" s="47"/>
      <c r="S36" s="8">
        <f t="shared" si="2"/>
        <v>0</v>
      </c>
    </row>
    <row r="37" spans="1:20" x14ac:dyDescent="0.25">
      <c r="A37" s="2" t="s">
        <v>14</v>
      </c>
      <c r="B37" s="56" t="s">
        <v>54</v>
      </c>
      <c r="C37" s="56" t="s">
        <v>59</v>
      </c>
      <c r="D37" s="36">
        <f t="shared" si="3"/>
        <v>0</v>
      </c>
      <c r="E37" s="48"/>
      <c r="F37" s="48"/>
      <c r="G37" s="47"/>
      <c r="H37" s="48"/>
      <c r="I37" s="47"/>
      <c r="J37" s="47"/>
      <c r="K37" s="47"/>
      <c r="L37" s="47"/>
      <c r="M37" s="47"/>
      <c r="N37" s="47"/>
      <c r="O37" s="47"/>
      <c r="P37" s="47"/>
      <c r="Q37" s="47"/>
      <c r="R37" s="47"/>
      <c r="S37" s="8">
        <f t="shared" si="2"/>
        <v>0</v>
      </c>
    </row>
    <row r="38" spans="1:20" x14ac:dyDescent="0.25">
      <c r="A38" s="56" t="s">
        <v>14</v>
      </c>
      <c r="B38" s="56" t="s">
        <v>93</v>
      </c>
      <c r="C38" s="56" t="s">
        <v>55</v>
      </c>
      <c r="D38" s="36">
        <f>SUM(E38:Q38)</f>
        <v>0</v>
      </c>
      <c r="E38" s="48"/>
      <c r="F38" s="48"/>
      <c r="G38" s="47"/>
      <c r="H38" s="48"/>
      <c r="I38" s="47"/>
      <c r="J38" s="47"/>
      <c r="K38" s="47"/>
      <c r="L38" s="47"/>
      <c r="M38" s="47"/>
      <c r="N38" s="47"/>
      <c r="O38" s="47"/>
      <c r="P38" s="47"/>
      <c r="Q38" s="47"/>
      <c r="R38" s="47"/>
      <c r="S38" s="8">
        <f t="shared" si="2"/>
        <v>0</v>
      </c>
    </row>
    <row r="39" spans="1:20" x14ac:dyDescent="0.25">
      <c r="A39" s="56" t="s">
        <v>78</v>
      </c>
      <c r="B39" s="56" t="s">
        <v>57</v>
      </c>
      <c r="C39" s="56" t="s">
        <v>79</v>
      </c>
      <c r="D39" s="36">
        <f t="shared" si="3"/>
        <v>0</v>
      </c>
      <c r="E39" s="48"/>
      <c r="F39" s="48"/>
      <c r="G39" s="47"/>
      <c r="H39" s="48"/>
      <c r="I39" s="48"/>
      <c r="J39" s="47"/>
      <c r="K39" s="47"/>
      <c r="L39" s="47"/>
      <c r="M39" s="47"/>
      <c r="N39" s="47"/>
      <c r="O39" s="47"/>
      <c r="P39" s="47"/>
      <c r="Q39" s="47"/>
      <c r="R39" s="47"/>
      <c r="S39" s="8">
        <f t="shared" si="2"/>
        <v>0</v>
      </c>
    </row>
    <row r="40" spans="1:20" x14ac:dyDescent="0.25">
      <c r="A40" s="56" t="s">
        <v>15</v>
      </c>
      <c r="B40" s="56" t="s">
        <v>53</v>
      </c>
      <c r="C40" s="56" t="s">
        <v>61</v>
      </c>
      <c r="D40" s="36">
        <f t="shared" si="3"/>
        <v>0</v>
      </c>
      <c r="E40" s="48"/>
      <c r="F40" s="48"/>
      <c r="G40" s="47"/>
      <c r="H40" s="48"/>
      <c r="I40" s="48"/>
      <c r="J40" s="47"/>
      <c r="K40" s="47"/>
      <c r="L40" s="47"/>
      <c r="M40" s="47"/>
      <c r="N40" s="47"/>
      <c r="O40" s="47"/>
      <c r="P40" s="47"/>
      <c r="Q40" s="47"/>
      <c r="R40" s="47"/>
      <c r="S40" s="8">
        <f t="shared" si="2"/>
        <v>0</v>
      </c>
    </row>
    <row r="41" spans="1:20" hidden="1" x14ac:dyDescent="0.25">
      <c r="A41" s="56" t="s">
        <v>15</v>
      </c>
      <c r="B41" s="56" t="s">
        <v>86</v>
      </c>
      <c r="C41" s="56" t="s">
        <v>87</v>
      </c>
      <c r="D41" s="36">
        <f t="shared" si="3"/>
        <v>0</v>
      </c>
      <c r="E41" s="48"/>
      <c r="F41" s="48"/>
      <c r="G41" s="47"/>
      <c r="H41" s="48"/>
      <c r="I41" s="48"/>
      <c r="J41" s="47"/>
      <c r="K41" s="47"/>
      <c r="L41" s="47"/>
      <c r="M41" s="47"/>
      <c r="N41" s="47"/>
      <c r="O41" s="47"/>
      <c r="P41" s="47"/>
      <c r="Q41" s="47"/>
      <c r="R41" s="47"/>
      <c r="S41" s="8">
        <f t="shared" si="2"/>
        <v>0</v>
      </c>
    </row>
    <row r="42" spans="1:20" x14ac:dyDescent="0.25">
      <c r="A42" s="2" t="s">
        <v>56</v>
      </c>
      <c r="B42" s="56" t="s">
        <v>54</v>
      </c>
      <c r="C42" s="56" t="s">
        <v>60</v>
      </c>
      <c r="D42" s="36">
        <f t="shared" si="3"/>
        <v>0</v>
      </c>
      <c r="E42" s="48"/>
      <c r="F42" s="48"/>
      <c r="G42" s="47"/>
      <c r="H42" s="48"/>
      <c r="I42" s="47"/>
      <c r="J42" s="48"/>
      <c r="K42" s="48"/>
      <c r="L42" s="47"/>
      <c r="M42" s="47"/>
      <c r="N42" s="47"/>
      <c r="O42" s="47"/>
      <c r="P42" s="47"/>
      <c r="Q42" s="47"/>
      <c r="R42" s="47"/>
      <c r="S42" s="8">
        <f t="shared" si="2"/>
        <v>0</v>
      </c>
    </row>
    <row r="43" spans="1:20" x14ac:dyDescent="0.25">
      <c r="A43" s="81" t="s">
        <v>19</v>
      </c>
      <c r="B43" s="76" t="s">
        <v>84</v>
      </c>
      <c r="C43" s="76" t="s">
        <v>85</v>
      </c>
      <c r="D43" s="49">
        <f>SUM(E43:Q43)</f>
        <v>0</v>
      </c>
      <c r="E43" s="77"/>
      <c r="F43" s="78"/>
      <c r="G43" s="78"/>
      <c r="H43" s="78"/>
      <c r="I43" s="78"/>
      <c r="J43" s="78"/>
      <c r="K43" s="78"/>
      <c r="L43" s="77"/>
      <c r="M43" s="77"/>
      <c r="N43" s="77"/>
      <c r="O43" s="78"/>
      <c r="P43" s="78"/>
      <c r="Q43" s="78"/>
      <c r="R43" s="78"/>
      <c r="S43" s="50">
        <f t="shared" si="2"/>
        <v>0</v>
      </c>
      <c r="T43" s="8">
        <f>SUM(S29:S43)</f>
        <v>0</v>
      </c>
    </row>
    <row r="44" spans="1:20" x14ac:dyDescent="0.25">
      <c r="A44" s="2" t="s">
        <v>11</v>
      </c>
      <c r="B44" s="56" t="s">
        <v>46</v>
      </c>
      <c r="C44" s="2" t="s">
        <v>47</v>
      </c>
      <c r="D44" s="36">
        <f t="shared" si="3"/>
        <v>0</v>
      </c>
      <c r="S44" s="8">
        <f t="shared" si="2"/>
        <v>0</v>
      </c>
    </row>
    <row r="45" spans="1:20" x14ac:dyDescent="0.25">
      <c r="A45" s="2" t="s">
        <v>11</v>
      </c>
      <c r="B45" s="56" t="s">
        <v>108</v>
      </c>
      <c r="C45" s="2" t="s">
        <v>109</v>
      </c>
      <c r="D45" s="36">
        <f t="shared" si="3"/>
        <v>0</v>
      </c>
      <c r="S45" s="8">
        <f t="shared" si="2"/>
        <v>0</v>
      </c>
    </row>
    <row r="46" spans="1:20" x14ac:dyDescent="0.25">
      <c r="A46" s="56" t="s">
        <v>12</v>
      </c>
      <c r="B46" s="56" t="s">
        <v>48</v>
      </c>
      <c r="C46" s="56" t="s">
        <v>49</v>
      </c>
      <c r="D46" s="36">
        <f t="shared" si="3"/>
        <v>0</v>
      </c>
      <c r="S46" s="8">
        <f t="shared" si="2"/>
        <v>0</v>
      </c>
    </row>
    <row r="47" spans="1:20" x14ac:dyDescent="0.25">
      <c r="A47" s="56" t="s">
        <v>14</v>
      </c>
      <c r="B47" s="56" t="s">
        <v>104</v>
      </c>
      <c r="C47" s="56" t="s">
        <v>105</v>
      </c>
      <c r="D47" s="36">
        <f t="shared" si="3"/>
        <v>0</v>
      </c>
      <c r="S47" s="8">
        <f t="shared" si="2"/>
        <v>0</v>
      </c>
    </row>
    <row r="48" spans="1:20" x14ac:dyDescent="0.25">
      <c r="A48" s="56" t="s">
        <v>15</v>
      </c>
      <c r="B48" s="56" t="s">
        <v>41</v>
      </c>
      <c r="C48" s="56" t="s">
        <v>44</v>
      </c>
      <c r="D48" s="36">
        <f t="shared" si="3"/>
        <v>0</v>
      </c>
      <c r="S48" s="8">
        <f t="shared" si="2"/>
        <v>0</v>
      </c>
    </row>
    <row r="49" spans="1:20" x14ac:dyDescent="0.25">
      <c r="A49" s="2" t="s">
        <v>15</v>
      </c>
      <c r="B49" s="56" t="s">
        <v>58</v>
      </c>
      <c r="C49" s="56" t="s">
        <v>81</v>
      </c>
      <c r="D49" s="36">
        <f t="shared" si="3"/>
        <v>0</v>
      </c>
      <c r="S49" s="8">
        <f t="shared" si="2"/>
        <v>0</v>
      </c>
    </row>
    <row r="50" spans="1:20" x14ac:dyDescent="0.25">
      <c r="A50" s="56" t="s">
        <v>15</v>
      </c>
      <c r="B50" s="56" t="s">
        <v>95</v>
      </c>
      <c r="C50" s="56" t="s">
        <v>62</v>
      </c>
      <c r="D50" s="36">
        <f t="shared" si="3"/>
        <v>0</v>
      </c>
      <c r="S50" s="8">
        <f t="shared" si="2"/>
        <v>0</v>
      </c>
    </row>
    <row r="51" spans="1:20" x14ac:dyDescent="0.25">
      <c r="A51" s="56" t="s">
        <v>19</v>
      </c>
      <c r="B51" s="56" t="s">
        <v>110</v>
      </c>
      <c r="C51" s="56" t="s">
        <v>50</v>
      </c>
      <c r="D51" s="36">
        <f t="shared" si="3"/>
        <v>0</v>
      </c>
      <c r="S51" s="8">
        <f t="shared" si="2"/>
        <v>0</v>
      </c>
    </row>
    <row r="52" spans="1:20" x14ac:dyDescent="0.25">
      <c r="A52" s="2" t="s">
        <v>21</v>
      </c>
      <c r="B52" s="56" t="s">
        <v>107</v>
      </c>
      <c r="C52" t="s">
        <v>63</v>
      </c>
      <c r="D52" s="36">
        <f t="shared" si="3"/>
        <v>0</v>
      </c>
      <c r="P52" s="100"/>
      <c r="S52" s="8">
        <f t="shared" si="2"/>
        <v>0</v>
      </c>
    </row>
    <row r="53" spans="1:20" x14ac:dyDescent="0.25">
      <c r="A53" s="2" t="s">
        <v>21</v>
      </c>
      <c r="B53" s="56" t="s">
        <v>106</v>
      </c>
      <c r="C53" t="s">
        <v>45</v>
      </c>
      <c r="D53" s="36">
        <f>SUM(E53:R53)</f>
        <v>0</v>
      </c>
      <c r="S53" s="8">
        <f t="shared" si="2"/>
        <v>0</v>
      </c>
    </row>
    <row r="54" spans="1:20" x14ac:dyDescent="0.25">
      <c r="A54" s="56" t="s">
        <v>21</v>
      </c>
      <c r="B54" s="56" t="s">
        <v>102</v>
      </c>
      <c r="C54" s="56" t="s">
        <v>103</v>
      </c>
      <c r="D54" s="36">
        <f>SUM(E54:R54)</f>
        <v>0</v>
      </c>
      <c r="S54" s="8">
        <f t="shared" si="2"/>
        <v>0</v>
      </c>
    </row>
    <row r="55" spans="1:20" ht="13.8" thickBot="1" x14ac:dyDescent="0.3">
      <c r="A55" s="70" t="s">
        <v>56</v>
      </c>
      <c r="B55" s="70"/>
      <c r="C55" s="75" t="s">
        <v>97</v>
      </c>
      <c r="D55" s="71">
        <f>SUM(E55:R55)</f>
        <v>40000000</v>
      </c>
      <c r="E55" s="72"/>
      <c r="F55" s="73"/>
      <c r="G55" s="73"/>
      <c r="H55" s="73"/>
      <c r="I55" s="73"/>
      <c r="J55" s="73"/>
      <c r="K55" s="73"/>
      <c r="L55" s="72"/>
      <c r="M55" s="72"/>
      <c r="N55" s="72"/>
      <c r="O55" s="73"/>
      <c r="P55" s="72"/>
      <c r="Q55" s="72"/>
      <c r="R55" s="72">
        <v>40000000</v>
      </c>
      <c r="S55" s="74">
        <f>D55/D9</f>
        <v>1</v>
      </c>
      <c r="T55" s="8"/>
    </row>
    <row r="56" spans="1:20" ht="13.8" thickTop="1" x14ac:dyDescent="0.25">
      <c r="A56" s="2" t="s">
        <v>11</v>
      </c>
      <c r="B56" s="56" t="s">
        <v>96</v>
      </c>
      <c r="C56" s="2" t="s">
        <v>42</v>
      </c>
      <c r="D56" s="36">
        <f>SUM(E56:Q56)</f>
        <v>22193533.360000003</v>
      </c>
      <c r="E56" s="48">
        <f>21725556.44+467976.92</f>
        <v>22193533.360000003</v>
      </c>
      <c r="F56" s="47"/>
      <c r="G56" s="47"/>
      <c r="H56" s="47"/>
      <c r="I56" s="47"/>
      <c r="J56" s="47"/>
      <c r="K56" s="47"/>
      <c r="L56" s="48"/>
      <c r="M56" s="48"/>
      <c r="N56" s="48"/>
      <c r="O56" s="47"/>
      <c r="P56" s="48"/>
      <c r="Q56" s="48"/>
      <c r="R56" s="48"/>
      <c r="S56" s="8">
        <f>D56/$D$11</f>
        <v>0.44263568707491979</v>
      </c>
      <c r="T56" s="8"/>
    </row>
    <row r="57" spans="1:20" x14ac:dyDescent="0.25">
      <c r="A57" s="2" t="s">
        <v>11</v>
      </c>
      <c r="B57" s="56" t="s">
        <v>129</v>
      </c>
      <c r="C57" s="2" t="s">
        <v>43</v>
      </c>
      <c r="D57" s="36">
        <f>SUM(E57:Q57)</f>
        <v>24671525.91</v>
      </c>
      <c r="E57" s="36">
        <f>15000000+4000000+5671525.91</f>
        <v>24671525.91</v>
      </c>
      <c r="S57" s="8">
        <f>D57/$D11</f>
        <v>0.49205764783907013</v>
      </c>
    </row>
    <row r="58" spans="1:20" x14ac:dyDescent="0.25">
      <c r="C58" s="101" t="s">
        <v>97</v>
      </c>
      <c r="D58" s="49">
        <f>SUM(E58:R58)</f>
        <v>3274443.73</v>
      </c>
      <c r="E58" s="49"/>
      <c r="F58" s="49"/>
      <c r="G58" s="49"/>
      <c r="H58" s="49"/>
      <c r="I58" s="49"/>
      <c r="J58" s="49"/>
      <c r="K58" s="49"/>
      <c r="L58" s="49"/>
      <c r="M58" s="49"/>
      <c r="N58" s="49"/>
      <c r="O58" s="49"/>
      <c r="P58" s="49"/>
      <c r="Q58" s="49"/>
      <c r="R58" s="49">
        <v>3274443.73</v>
      </c>
      <c r="S58" s="50">
        <f>D58/$D11</f>
        <v>6.5306665086010129E-2</v>
      </c>
    </row>
    <row r="59" spans="1:20" x14ac:dyDescent="0.25">
      <c r="C59" s="101"/>
      <c r="D59" s="103"/>
    </row>
    <row r="60" spans="1:20" s="8" customFormat="1" ht="13.8" thickBot="1" x14ac:dyDescent="0.3">
      <c r="B60" s="51"/>
      <c r="C60" s="52" t="s">
        <v>25</v>
      </c>
      <c r="D60" s="53"/>
      <c r="E60" s="53">
        <f>E5/D5</f>
        <v>0.43877529243807839</v>
      </c>
      <c r="F60" s="53">
        <f>F5/D5</f>
        <v>4.9264676433421806E-2</v>
      </c>
      <c r="G60" s="53">
        <f>G5/D5</f>
        <v>0</v>
      </c>
      <c r="H60" s="53">
        <f>H5/D5</f>
        <v>3.69853819848432E-3</v>
      </c>
      <c r="I60" s="53">
        <f>I5/D5</f>
        <v>8.5217069245122599E-4</v>
      </c>
      <c r="J60" s="53">
        <f>J5/D5</f>
        <v>1.2285368297968073E-3</v>
      </c>
      <c r="K60" s="53">
        <f>K5/D5</f>
        <v>8.109350098549583E-3</v>
      </c>
      <c r="L60" s="53">
        <f>L5/D5</f>
        <v>1.5520491954876684E-2</v>
      </c>
      <c r="M60" s="53">
        <f>M5/D5</f>
        <v>1.9087183310145086E-3</v>
      </c>
      <c r="N60" s="53">
        <f>N5/D5</f>
        <v>5.8745308289197664E-3</v>
      </c>
      <c r="O60" s="53">
        <f>O5/D5</f>
        <v>1.7852708639883568E-3</v>
      </c>
      <c r="P60" s="53">
        <f>P5/D5</f>
        <v>4.4789885014528859E-3</v>
      </c>
      <c r="Q60" s="53">
        <f>Q5/D5</f>
        <v>8.3871623104018436E-4</v>
      </c>
      <c r="R60" s="53"/>
      <c r="S60" s="53"/>
    </row>
    <row r="61" spans="1:20" s="8" customFormat="1" ht="13.8" thickTop="1" x14ac:dyDescent="0.25">
      <c r="A61" s="54"/>
      <c r="C61" s="52"/>
    </row>
  </sheetData>
  <pageMargins left="0.5" right="0" top="0.75" bottom="0.75" header="0.3" footer="0.3"/>
  <pageSetup paperSize="5" scale="6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1:T64"/>
  <sheetViews>
    <sheetView topLeftCell="B7" workbookViewId="0">
      <selection activeCell="D59" sqref="D59:D61"/>
    </sheetView>
  </sheetViews>
  <sheetFormatPr defaultRowHeight="13.2" x14ac:dyDescent="0.25"/>
  <cols>
    <col min="2" max="2" width="15.6640625" customWidth="1"/>
    <col min="3" max="3" width="36.5546875" customWidth="1"/>
    <col min="4" max="4" width="15.44140625" style="36" customWidth="1"/>
    <col min="5" max="5" width="15.5546875" style="36" customWidth="1"/>
    <col min="6" max="6" width="12.6640625" style="36" customWidth="1"/>
    <col min="7" max="7" width="10.88671875" style="36" hidden="1" customWidth="1"/>
    <col min="8" max="8" width="13" style="36" customWidth="1"/>
    <col min="9" max="9" width="14.33203125" style="36" customWidth="1"/>
    <col min="10" max="10" width="12.6640625" style="36" customWidth="1"/>
    <col min="11" max="11" width="13" style="36" customWidth="1"/>
    <col min="12" max="12" width="13.44140625" style="36" customWidth="1"/>
    <col min="13" max="13" width="11.33203125" style="36" customWidth="1"/>
    <col min="14" max="14" width="13.33203125" style="36" customWidth="1"/>
    <col min="15" max="15" width="12.6640625" style="36" customWidth="1"/>
    <col min="16" max="16" width="14.44140625" style="36" customWidth="1"/>
    <col min="17" max="17" width="12.6640625" style="36" customWidth="1"/>
    <col min="18" max="18" width="14.33203125" style="36" customWidth="1"/>
    <col min="19" max="19" width="12.6640625" style="8" customWidth="1"/>
    <col min="20" max="20" width="11.33203125" bestFit="1" customWidth="1"/>
  </cols>
  <sheetData>
    <row r="1" spans="1:19" x14ac:dyDescent="0.25">
      <c r="A1" s="64" t="s">
        <v>131</v>
      </c>
    </row>
    <row r="3" spans="1:19" x14ac:dyDescent="0.25">
      <c r="A3" s="37"/>
      <c r="B3" s="37"/>
      <c r="C3" s="37"/>
      <c r="D3" s="38"/>
      <c r="E3" s="38"/>
      <c r="F3" s="38"/>
      <c r="G3" s="38"/>
      <c r="H3" s="38"/>
      <c r="I3" s="38"/>
      <c r="J3" s="38"/>
      <c r="K3" s="38"/>
      <c r="L3" s="38"/>
      <c r="M3" s="38"/>
      <c r="N3" s="38"/>
      <c r="O3" s="38"/>
      <c r="P3" s="38"/>
      <c r="Q3" s="38"/>
      <c r="R3" s="91" t="s">
        <v>56</v>
      </c>
      <c r="S3" s="39" t="s">
        <v>7</v>
      </c>
    </row>
    <row r="4" spans="1:19" x14ac:dyDescent="0.25">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8" thickBot="1" x14ac:dyDescent="0.3">
      <c r="C5" s="43" t="s">
        <v>24</v>
      </c>
      <c r="D5" s="44">
        <f>D7+D9+D11</f>
        <v>115139503</v>
      </c>
      <c r="E5" s="44">
        <f t="shared" ref="E5:R5" si="0">E7+E9+E11</f>
        <v>50520369.100000001</v>
      </c>
      <c r="F5" s="44">
        <f t="shared" si="0"/>
        <v>5672310.3599999994</v>
      </c>
      <c r="G5" s="44">
        <f t="shared" si="0"/>
        <v>0</v>
      </c>
      <c r="H5" s="44">
        <f t="shared" si="0"/>
        <v>425847.85</v>
      </c>
      <c r="I5" s="44">
        <f t="shared" si="0"/>
        <v>98118.510000000009</v>
      </c>
      <c r="J5" s="44">
        <f t="shared" si="0"/>
        <v>141453.12</v>
      </c>
      <c r="K5" s="44">
        <f t="shared" si="0"/>
        <v>933706.54</v>
      </c>
      <c r="L5" s="44">
        <f t="shared" si="0"/>
        <v>1787021.7299999997</v>
      </c>
      <c r="M5" s="44">
        <f t="shared" si="0"/>
        <v>219768.88</v>
      </c>
      <c r="N5" s="44">
        <f t="shared" si="0"/>
        <v>676390.55999999994</v>
      </c>
      <c r="O5" s="44">
        <f t="shared" si="0"/>
        <v>205555.20000000001</v>
      </c>
      <c r="P5" s="44">
        <f t="shared" si="0"/>
        <v>515708.51</v>
      </c>
      <c r="Q5" s="44">
        <f t="shared" si="0"/>
        <v>96569.37</v>
      </c>
      <c r="R5" s="44">
        <f t="shared" si="0"/>
        <v>53846683.270000003</v>
      </c>
      <c r="S5" s="45"/>
    </row>
    <row r="6" spans="1:19" s="43" customFormat="1" ht="13.8" thickTop="1" x14ac:dyDescent="0.25">
      <c r="D6" s="48"/>
      <c r="E6" s="48"/>
      <c r="F6" s="48"/>
      <c r="G6" s="48"/>
      <c r="H6" s="48"/>
      <c r="I6" s="48"/>
      <c r="J6" s="48"/>
      <c r="K6" s="48"/>
      <c r="L6" s="48"/>
      <c r="M6" s="48"/>
      <c r="N6" s="48"/>
      <c r="O6" s="48"/>
      <c r="P6" s="48"/>
      <c r="Q6" s="48"/>
      <c r="R6" s="48"/>
      <c r="S6" s="55"/>
    </row>
    <row r="7" spans="1:19" s="43" customFormat="1" ht="13.8" thickBot="1" x14ac:dyDescent="0.3">
      <c r="C7" s="69" t="s">
        <v>76</v>
      </c>
      <c r="D7" s="44">
        <f>SUM(E7:R7)</f>
        <v>25000000</v>
      </c>
      <c r="E7" s="44">
        <f>E13</f>
        <v>3655309.83</v>
      </c>
      <c r="F7" s="44">
        <f>F14</f>
        <v>3700341.8099999996</v>
      </c>
      <c r="G7" s="44"/>
      <c r="H7" s="44">
        <f>H15</f>
        <v>425847.85</v>
      </c>
      <c r="I7" s="44">
        <f>I16</f>
        <v>98118.510000000009</v>
      </c>
      <c r="J7" s="44">
        <f>J17</f>
        <v>141453.12</v>
      </c>
      <c r="K7" s="44">
        <f>K18</f>
        <v>933706.54</v>
      </c>
      <c r="L7" s="44">
        <f>L19</f>
        <v>1787021.7299999997</v>
      </c>
      <c r="M7" s="44">
        <f>M21+M22</f>
        <v>219768.88</v>
      </c>
      <c r="N7" s="44">
        <f>N23</f>
        <v>676390.55999999994</v>
      </c>
      <c r="O7" s="44">
        <f>O24</f>
        <v>205555.20000000001</v>
      </c>
      <c r="P7" s="44">
        <f>P26</f>
        <v>515708.51</v>
      </c>
      <c r="Q7" s="44">
        <f>Q27</f>
        <v>96569.37</v>
      </c>
      <c r="R7" s="44">
        <f>R28</f>
        <v>12544208.09</v>
      </c>
      <c r="S7" s="45">
        <f>SUM(S13:S28)</f>
        <v>1</v>
      </c>
    </row>
    <row r="8" spans="1:19" s="43" customFormat="1" ht="13.8" thickTop="1" x14ac:dyDescent="0.25">
      <c r="D8" s="48"/>
      <c r="E8" s="48"/>
      <c r="F8" s="48"/>
      <c r="G8" s="48"/>
      <c r="H8" s="48"/>
      <c r="I8" s="48"/>
      <c r="J8" s="48"/>
      <c r="K8" s="48"/>
      <c r="L8" s="48"/>
      <c r="M8" s="48"/>
      <c r="N8" s="48"/>
      <c r="O8" s="48"/>
      <c r="P8" s="48"/>
      <c r="Q8" s="48"/>
      <c r="R8" s="48"/>
      <c r="S8" s="55"/>
    </row>
    <row r="9" spans="1:19" s="43" customFormat="1" ht="13.8" thickBot="1" x14ac:dyDescent="0.3">
      <c r="C9" s="69" t="s">
        <v>77</v>
      </c>
      <c r="D9" s="44">
        <f>SUM(E9:R9)</f>
        <v>40000000</v>
      </c>
      <c r="E9" s="44">
        <f>E31+E32+E33+E35+E47+E36+E48</f>
        <v>0</v>
      </c>
      <c r="F9" s="44">
        <f>F29</f>
        <v>1971968.55</v>
      </c>
      <c r="G9" s="44"/>
      <c r="H9" s="44">
        <f>H41+H40+H50</f>
        <v>0</v>
      </c>
      <c r="I9" s="44">
        <f>I42+I43+I51+I52+I53+I44</f>
        <v>0</v>
      </c>
      <c r="J9" s="44">
        <v>0</v>
      </c>
      <c r="K9" s="44">
        <f>K45</f>
        <v>0</v>
      </c>
      <c r="L9" s="44">
        <v>0</v>
      </c>
      <c r="M9" s="44">
        <v>0</v>
      </c>
      <c r="N9" s="44">
        <f>N46+N54</f>
        <v>0</v>
      </c>
      <c r="O9" s="44"/>
      <c r="P9" s="44">
        <f>P55+P56+P57</f>
        <v>0</v>
      </c>
      <c r="Q9" s="44">
        <v>0</v>
      </c>
      <c r="R9" s="44">
        <f>R58</f>
        <v>38028031.450000003</v>
      </c>
      <c r="S9" s="45">
        <f>SUM(S29:S58)</f>
        <v>1</v>
      </c>
    </row>
    <row r="10" spans="1:19" ht="13.8" thickTop="1" x14ac:dyDescent="0.25">
      <c r="A10" s="46"/>
      <c r="B10" s="2"/>
      <c r="C10" s="2"/>
      <c r="D10" s="47"/>
      <c r="E10" s="47"/>
      <c r="F10" s="47"/>
      <c r="G10" s="47"/>
      <c r="H10" s="47"/>
      <c r="I10" s="47"/>
      <c r="J10" s="47"/>
      <c r="K10" s="47"/>
      <c r="L10" s="47"/>
      <c r="M10" s="47"/>
      <c r="N10" s="47"/>
      <c r="O10" s="47"/>
      <c r="P10" s="47"/>
      <c r="Q10" s="47"/>
      <c r="R10" s="47"/>
    </row>
    <row r="11" spans="1:19" ht="13.8" thickBot="1" x14ac:dyDescent="0.3">
      <c r="A11" s="46"/>
      <c r="B11" s="2"/>
      <c r="C11" s="69" t="s">
        <v>88</v>
      </c>
      <c r="D11" s="44">
        <f>SUM(E11:R11)</f>
        <v>50139503</v>
      </c>
      <c r="E11" s="44">
        <f>E59+E60</f>
        <v>46865059.270000003</v>
      </c>
      <c r="F11" s="80"/>
      <c r="G11" s="80"/>
      <c r="H11" s="80"/>
      <c r="I11" s="80"/>
      <c r="J11" s="80"/>
      <c r="K11" s="80"/>
      <c r="L11" s="80"/>
      <c r="M11" s="80"/>
      <c r="N11" s="80"/>
      <c r="O11" s="80"/>
      <c r="P11" s="80"/>
      <c r="Q11" s="80"/>
      <c r="R11" s="80">
        <f>R61</f>
        <v>3274443.73</v>
      </c>
      <c r="S11" s="45">
        <f>S59+S60+S61</f>
        <v>1</v>
      </c>
    </row>
    <row r="12" spans="1:19" ht="13.8" thickTop="1" x14ac:dyDescent="0.25">
      <c r="A12" s="46"/>
      <c r="B12" s="2"/>
      <c r="C12" s="2"/>
      <c r="D12" s="47"/>
      <c r="E12" s="47"/>
      <c r="F12" s="47"/>
      <c r="G12" s="47"/>
      <c r="H12" s="47"/>
      <c r="I12" s="47"/>
      <c r="J12" s="47"/>
      <c r="K12" s="47"/>
      <c r="L12" s="47"/>
      <c r="M12" s="47"/>
      <c r="N12" s="47"/>
      <c r="O12" s="47"/>
      <c r="P12" s="47"/>
      <c r="Q12" s="47"/>
      <c r="R12" s="47"/>
    </row>
    <row r="13" spans="1:19" x14ac:dyDescent="0.25">
      <c r="A13" s="56" t="s">
        <v>11</v>
      </c>
      <c r="B13" s="56" t="s">
        <v>100</v>
      </c>
      <c r="C13" s="56" t="s">
        <v>32</v>
      </c>
      <c r="D13" s="36">
        <f t="shared" ref="D13:D26" si="1">SUM(E13:R13)</f>
        <v>3655309.83</v>
      </c>
      <c r="E13" s="48">
        <f>3655309.83</f>
        <v>3655309.83</v>
      </c>
      <c r="F13" s="47"/>
      <c r="G13" s="47"/>
      <c r="H13" s="47"/>
      <c r="I13" s="47"/>
      <c r="J13" s="47"/>
      <c r="K13" s="47"/>
      <c r="L13" s="47"/>
      <c r="M13" s="47"/>
      <c r="N13" s="47"/>
      <c r="O13" s="47"/>
      <c r="P13" s="47"/>
      <c r="Q13" s="47"/>
      <c r="R13" s="47"/>
      <c r="S13" s="8">
        <f>D13/D7</f>
        <v>0.14621239320000001</v>
      </c>
    </row>
    <row r="14" spans="1:19" x14ac:dyDescent="0.25">
      <c r="A14" s="2" t="s">
        <v>12</v>
      </c>
      <c r="B14" s="56" t="s">
        <v>121</v>
      </c>
      <c r="C14" s="56" t="s">
        <v>32</v>
      </c>
      <c r="D14" s="36">
        <f t="shared" si="1"/>
        <v>3700341.8099999996</v>
      </c>
      <c r="E14" s="48"/>
      <c r="F14" s="48">
        <f>152452.86+1971968.55+345135.5+983461.58+804251.74+565487.21+550888.27+89533.01+16004.89+65342.71+87837.97+11117.16+14969.81+13859.1-1971968.55</f>
        <v>3700341.8099999996</v>
      </c>
      <c r="G14" s="47"/>
      <c r="H14" s="47"/>
      <c r="I14" s="47"/>
      <c r="J14" s="47"/>
      <c r="K14" s="47"/>
      <c r="L14" s="47"/>
      <c r="M14" s="47"/>
      <c r="N14" s="47"/>
      <c r="O14" s="47"/>
      <c r="P14" s="47"/>
      <c r="Q14" s="47"/>
      <c r="R14" s="47"/>
      <c r="S14" s="109">
        <f>D14/D7</f>
        <v>0.14801367239999999</v>
      </c>
    </row>
    <row r="15" spans="1:19" x14ac:dyDescent="0.25">
      <c r="A15" s="2" t="s">
        <v>14</v>
      </c>
      <c r="B15" s="56" t="s">
        <v>122</v>
      </c>
      <c r="C15" s="56" t="s">
        <v>32</v>
      </c>
      <c r="D15" s="36">
        <f t="shared" si="1"/>
        <v>425847.85</v>
      </c>
      <c r="E15" s="48"/>
      <c r="F15" s="48"/>
      <c r="G15" s="47"/>
      <c r="H15" s="48">
        <f>424374.56+1473.29</f>
        <v>425847.85</v>
      </c>
      <c r="I15" s="47"/>
      <c r="J15" s="47"/>
      <c r="K15" s="47"/>
      <c r="L15" s="47"/>
      <c r="M15" s="47"/>
      <c r="N15" s="47"/>
      <c r="O15" s="47"/>
      <c r="P15" s="47"/>
      <c r="Q15" s="47"/>
      <c r="R15" s="47"/>
      <c r="S15" s="8">
        <f>D15/D7</f>
        <v>1.7033914000000001E-2</v>
      </c>
    </row>
    <row r="16" spans="1:19" x14ac:dyDescent="0.25">
      <c r="A16" s="2" t="s">
        <v>15</v>
      </c>
      <c r="B16" s="56" t="s">
        <v>120</v>
      </c>
      <c r="C16" s="56" t="s">
        <v>32</v>
      </c>
      <c r="D16" s="36">
        <f t="shared" si="1"/>
        <v>98118.510000000009</v>
      </c>
      <c r="E16" s="48"/>
      <c r="F16" s="48"/>
      <c r="G16" s="47"/>
      <c r="H16" s="48"/>
      <c r="I16" s="48">
        <f>3875.8+55124.8+39117.91</f>
        <v>98118.510000000009</v>
      </c>
      <c r="J16" s="47"/>
      <c r="K16" s="47"/>
      <c r="L16" s="47"/>
      <c r="M16" s="47"/>
      <c r="N16" s="47"/>
      <c r="O16" s="47"/>
      <c r="P16" s="47"/>
      <c r="Q16" s="47"/>
      <c r="R16" s="47"/>
      <c r="S16" s="8">
        <f>D16/D7</f>
        <v>3.9247404000000005E-3</v>
      </c>
    </row>
    <row r="17" spans="1:20" x14ac:dyDescent="0.25">
      <c r="A17" s="2" t="s">
        <v>16</v>
      </c>
      <c r="B17" s="56" t="s">
        <v>84</v>
      </c>
      <c r="C17" s="56" t="s">
        <v>32</v>
      </c>
      <c r="D17" s="36">
        <f t="shared" si="1"/>
        <v>141453.12</v>
      </c>
      <c r="E17" s="48"/>
      <c r="F17" s="48"/>
      <c r="G17" s="47"/>
      <c r="H17" s="48"/>
      <c r="I17" s="47"/>
      <c r="J17" s="48">
        <f>141453.12</f>
        <v>141453.12</v>
      </c>
      <c r="K17" s="48"/>
      <c r="L17" s="47"/>
      <c r="M17" s="47"/>
      <c r="N17" s="47"/>
      <c r="O17" s="47"/>
      <c r="P17" s="47"/>
      <c r="Q17" s="47"/>
      <c r="R17" s="47"/>
      <c r="S17" s="8">
        <f>D17/D7</f>
        <v>5.6581247999999999E-3</v>
      </c>
    </row>
    <row r="18" spans="1:20" x14ac:dyDescent="0.25">
      <c r="A18" s="2" t="s">
        <v>56</v>
      </c>
      <c r="B18" s="56" t="s">
        <v>54</v>
      </c>
      <c r="C18" s="56" t="s">
        <v>36</v>
      </c>
      <c r="D18" s="36">
        <f t="shared" si="1"/>
        <v>933706.54</v>
      </c>
      <c r="E18" s="48"/>
      <c r="F18" s="48"/>
      <c r="G18" s="47"/>
      <c r="H18" s="48"/>
      <c r="I18" s="47"/>
      <c r="J18" s="48"/>
      <c r="K18" s="48">
        <f>933706.54</f>
        <v>933706.54</v>
      </c>
      <c r="L18" s="47"/>
      <c r="M18" s="47"/>
      <c r="N18" s="47"/>
      <c r="O18" s="47"/>
      <c r="P18" s="47"/>
      <c r="Q18" s="47"/>
      <c r="R18" s="47"/>
      <c r="S18" s="8">
        <f>D18/D7</f>
        <v>3.7348261600000002E-2</v>
      </c>
    </row>
    <row r="19" spans="1:20" x14ac:dyDescent="0.25">
      <c r="A19" s="2" t="s">
        <v>17</v>
      </c>
      <c r="B19" s="56" t="s">
        <v>128</v>
      </c>
      <c r="C19" s="56" t="s">
        <v>32</v>
      </c>
      <c r="D19" s="36">
        <f t="shared" si="1"/>
        <v>1787021.7299999997</v>
      </c>
      <c r="E19" s="48"/>
      <c r="F19" s="48"/>
      <c r="G19" s="47"/>
      <c r="H19" s="48"/>
      <c r="I19" s="47"/>
      <c r="J19" s="48"/>
      <c r="K19" s="48"/>
      <c r="L19" s="48">
        <f>1437979.34+1209.39+273848.11+73984.89</f>
        <v>1787021.7299999997</v>
      </c>
      <c r="M19" s="47"/>
      <c r="N19" s="47"/>
      <c r="O19" s="47"/>
      <c r="P19" s="47"/>
      <c r="Q19" s="47"/>
      <c r="R19" s="47"/>
      <c r="S19" s="8">
        <f>D19/D7</f>
        <v>7.1480869199999991E-2</v>
      </c>
    </row>
    <row r="20" spans="1:20" hidden="1" x14ac:dyDescent="0.25">
      <c r="A20" s="2" t="s">
        <v>17</v>
      </c>
      <c r="B20" s="2" t="s">
        <v>37</v>
      </c>
      <c r="C20" s="2" t="s">
        <v>38</v>
      </c>
      <c r="D20" s="36">
        <f t="shared" si="1"/>
        <v>0</v>
      </c>
      <c r="E20" s="48"/>
      <c r="F20" s="47"/>
      <c r="G20" s="47"/>
      <c r="H20" s="47"/>
      <c r="I20" s="47"/>
      <c r="J20" s="47"/>
      <c r="K20" s="47"/>
      <c r="L20" s="48"/>
      <c r="M20" s="47"/>
      <c r="N20" s="47"/>
      <c r="O20" s="47"/>
      <c r="P20" s="47"/>
      <c r="Q20" s="47"/>
      <c r="R20" s="47"/>
      <c r="S20" s="8">
        <f>D20/D15</f>
        <v>0</v>
      </c>
    </row>
    <row r="21" spans="1:20" x14ac:dyDescent="0.25">
      <c r="A21" s="2" t="s">
        <v>18</v>
      </c>
      <c r="B21" s="56" t="s">
        <v>123</v>
      </c>
      <c r="C21" s="56" t="s">
        <v>32</v>
      </c>
      <c r="D21" s="36">
        <f t="shared" si="1"/>
        <v>219768.88</v>
      </c>
      <c r="E21" s="48"/>
      <c r="F21" s="47"/>
      <c r="G21" s="47"/>
      <c r="H21" s="47"/>
      <c r="I21" s="47"/>
      <c r="J21" s="47"/>
      <c r="K21" s="47"/>
      <c r="L21" s="48"/>
      <c r="M21" s="48">
        <f>219768.88</f>
        <v>219768.88</v>
      </c>
      <c r="N21" s="47"/>
      <c r="O21" s="47"/>
      <c r="P21" s="47"/>
      <c r="Q21" s="47"/>
      <c r="R21" s="47"/>
      <c r="S21" s="8">
        <f>D21/D7</f>
        <v>8.7907552E-3</v>
      </c>
    </row>
    <row r="22" spans="1:20" hidden="1" x14ac:dyDescent="0.25">
      <c r="A22" s="56" t="s">
        <v>18</v>
      </c>
      <c r="B22" s="56" t="s">
        <v>80</v>
      </c>
      <c r="C22" s="56" t="s">
        <v>36</v>
      </c>
      <c r="D22" s="36">
        <f t="shared" si="1"/>
        <v>0</v>
      </c>
      <c r="E22" s="48"/>
      <c r="F22" s="47"/>
      <c r="G22" s="47"/>
      <c r="H22" s="47"/>
      <c r="I22" s="47"/>
      <c r="J22" s="47"/>
      <c r="K22" s="47"/>
      <c r="L22" s="48"/>
      <c r="M22" s="48"/>
      <c r="N22" s="47"/>
      <c r="O22" s="47"/>
      <c r="P22" s="47"/>
      <c r="Q22" s="47"/>
      <c r="R22" s="47"/>
      <c r="S22" s="8">
        <f>D22/D7</f>
        <v>0</v>
      </c>
    </row>
    <row r="23" spans="1:20" x14ac:dyDescent="0.25">
      <c r="A23" s="2" t="s">
        <v>19</v>
      </c>
      <c r="B23" s="56" t="s">
        <v>124</v>
      </c>
      <c r="C23" s="56" t="s">
        <v>32</v>
      </c>
      <c r="D23" s="36">
        <f t="shared" si="1"/>
        <v>676390.55999999994</v>
      </c>
      <c r="E23" s="48"/>
      <c r="F23" s="47"/>
      <c r="G23" s="47"/>
      <c r="H23" s="47"/>
      <c r="I23" s="47"/>
      <c r="J23" s="47"/>
      <c r="K23" s="47"/>
      <c r="L23" s="48"/>
      <c r="M23" s="48"/>
      <c r="N23" s="48">
        <f>59091.83+257025.13+212943.8+60038.35+33258.36+44154.12+9878.97</f>
        <v>676390.55999999994</v>
      </c>
      <c r="O23" s="47"/>
      <c r="P23" s="47"/>
      <c r="Q23" s="47"/>
      <c r="R23" s="47"/>
      <c r="S23" s="8">
        <f>D23/D7</f>
        <v>2.7055622399999996E-2</v>
      </c>
    </row>
    <row r="24" spans="1:20" x14ac:dyDescent="0.25">
      <c r="A24" s="2" t="s">
        <v>20</v>
      </c>
      <c r="B24" s="56" t="s">
        <v>125</v>
      </c>
      <c r="C24" s="56" t="s">
        <v>32</v>
      </c>
      <c r="D24" s="36">
        <f t="shared" si="1"/>
        <v>205555.20000000001</v>
      </c>
      <c r="E24" s="48"/>
      <c r="F24" s="47"/>
      <c r="G24" s="47"/>
      <c r="H24" s="47"/>
      <c r="I24" s="47"/>
      <c r="J24" s="47"/>
      <c r="K24" s="47"/>
      <c r="L24" s="48"/>
      <c r="M24" s="48"/>
      <c r="N24" s="48"/>
      <c r="O24" s="48">
        <f>112782.78+90553.17+2219.25</f>
        <v>205555.20000000001</v>
      </c>
      <c r="P24" s="47"/>
      <c r="Q24" s="47"/>
      <c r="R24" s="47"/>
      <c r="S24" s="8">
        <f>D24/D7</f>
        <v>8.2222079999999999E-3</v>
      </c>
    </row>
    <row r="25" spans="1:20" hidden="1" x14ac:dyDescent="0.25">
      <c r="A25" s="2" t="s">
        <v>20</v>
      </c>
      <c r="B25" s="2" t="s">
        <v>33</v>
      </c>
      <c r="C25" s="2" t="s">
        <v>35</v>
      </c>
      <c r="D25" s="36">
        <f t="shared" si="1"/>
        <v>0</v>
      </c>
      <c r="E25" s="48"/>
      <c r="F25" s="47"/>
      <c r="G25" s="47"/>
      <c r="H25" s="47"/>
      <c r="I25" s="47"/>
      <c r="J25" s="47"/>
      <c r="K25" s="47"/>
      <c r="L25" s="48"/>
      <c r="M25" s="48"/>
      <c r="N25" s="48"/>
      <c r="O25" s="48"/>
      <c r="P25" s="47"/>
      <c r="Q25" s="47"/>
      <c r="R25" s="47"/>
      <c r="S25" s="8">
        <f>D25/D21</f>
        <v>0</v>
      </c>
    </row>
    <row r="26" spans="1:20" x14ac:dyDescent="0.25">
      <c r="A26" s="2" t="s">
        <v>21</v>
      </c>
      <c r="B26" s="56" t="s">
        <v>126</v>
      </c>
      <c r="C26" s="56" t="s">
        <v>32</v>
      </c>
      <c r="D26" s="36">
        <f t="shared" si="1"/>
        <v>515708.51</v>
      </c>
      <c r="E26" s="48"/>
      <c r="F26" s="47"/>
      <c r="G26" s="47"/>
      <c r="H26" s="47"/>
      <c r="I26" s="47"/>
      <c r="J26" s="47"/>
      <c r="K26" s="47"/>
      <c r="L26" s="48"/>
      <c r="M26" s="48"/>
      <c r="N26" s="48"/>
      <c r="O26" s="47"/>
      <c r="P26" s="48">
        <f>227724.27+177963.86+60080+16367.87+33572.51</f>
        <v>515708.51</v>
      </c>
      <c r="Q26" s="47"/>
      <c r="R26" s="47"/>
      <c r="S26" s="8">
        <f>D26/D7</f>
        <v>2.06283404E-2</v>
      </c>
    </row>
    <row r="27" spans="1:20" x14ac:dyDescent="0.25">
      <c r="A27" s="2" t="s">
        <v>22</v>
      </c>
      <c r="B27" s="56" t="s">
        <v>127</v>
      </c>
      <c r="C27" s="56" t="s">
        <v>32</v>
      </c>
      <c r="D27" s="36">
        <f>SUM(E27:R27)</f>
        <v>96569.37</v>
      </c>
      <c r="E27" s="48"/>
      <c r="F27" s="47"/>
      <c r="G27" s="47"/>
      <c r="H27" s="47"/>
      <c r="I27" s="47"/>
      <c r="J27" s="47"/>
      <c r="K27" s="47"/>
      <c r="L27" s="48"/>
      <c r="M27" s="48"/>
      <c r="N27" s="48"/>
      <c r="O27" s="47"/>
      <c r="P27" s="48"/>
      <c r="Q27" s="48">
        <f>26972.83+69596.54</f>
        <v>96569.37</v>
      </c>
      <c r="R27" s="48"/>
      <c r="S27" s="8">
        <f>D27/D7</f>
        <v>3.8627747999999996E-3</v>
      </c>
      <c r="T27" s="8"/>
    </row>
    <row r="28" spans="1:20" ht="13.8" thickBot="1" x14ac:dyDescent="0.3">
      <c r="A28" s="94"/>
      <c r="B28" s="95"/>
      <c r="C28" s="102" t="s">
        <v>97</v>
      </c>
      <c r="D28" s="96">
        <f>SUM(E28:R28)</f>
        <v>12544208.09</v>
      </c>
      <c r="E28" s="97"/>
      <c r="F28" s="98"/>
      <c r="G28" s="98"/>
      <c r="H28" s="98"/>
      <c r="I28" s="98"/>
      <c r="J28" s="98"/>
      <c r="K28" s="98"/>
      <c r="L28" s="97"/>
      <c r="M28" s="97"/>
      <c r="N28" s="97"/>
      <c r="O28" s="98"/>
      <c r="P28" s="97"/>
      <c r="Q28" s="97"/>
      <c r="R28" s="97">
        <f>25000000-SUM(D13:D27)</f>
        <v>12544208.09</v>
      </c>
      <c r="S28" s="110">
        <f>D28/D7</f>
        <v>0.50176832360000001</v>
      </c>
      <c r="T28" s="8"/>
    </row>
    <row r="29" spans="1:20" x14ac:dyDescent="0.25">
      <c r="A29" s="104" t="s">
        <v>12</v>
      </c>
      <c r="B29" s="104" t="s">
        <v>132</v>
      </c>
      <c r="C29" s="105" t="s">
        <v>133</v>
      </c>
      <c r="D29" s="106">
        <f>SUM(E29:Q29)</f>
        <v>1971968.55</v>
      </c>
      <c r="E29" s="48"/>
      <c r="F29" s="47">
        <v>1971968.55</v>
      </c>
      <c r="G29" s="47"/>
      <c r="H29" s="47"/>
      <c r="I29" s="47"/>
      <c r="J29" s="47"/>
      <c r="K29" s="47"/>
      <c r="L29" s="48"/>
      <c r="M29" s="48"/>
      <c r="N29" s="48"/>
      <c r="O29" s="47"/>
      <c r="P29" s="48"/>
      <c r="Q29" s="48"/>
      <c r="R29" s="48"/>
      <c r="S29" s="109">
        <f>D29/$D$9</f>
        <v>4.9299213750000001E-2</v>
      </c>
      <c r="T29" s="8"/>
    </row>
    <row r="30" spans="1:20" x14ac:dyDescent="0.25">
      <c r="A30" s="2"/>
      <c r="B30" s="56"/>
      <c r="C30" s="101"/>
      <c r="E30" s="48"/>
      <c r="F30" s="47"/>
      <c r="G30" s="47"/>
      <c r="H30" s="47"/>
      <c r="I30" s="47"/>
      <c r="J30" s="47"/>
      <c r="K30" s="47"/>
      <c r="L30" s="48"/>
      <c r="M30" s="48"/>
      <c r="N30" s="48"/>
      <c r="O30" s="47"/>
      <c r="P30" s="48"/>
      <c r="Q30" s="48"/>
      <c r="R30" s="48"/>
      <c r="T30" s="8"/>
    </row>
    <row r="31" spans="1:20" x14ac:dyDescent="0.25">
      <c r="A31" s="107" t="s">
        <v>11</v>
      </c>
      <c r="B31" s="107" t="s">
        <v>92</v>
      </c>
      <c r="C31" s="107" t="s">
        <v>155</v>
      </c>
      <c r="D31" s="108">
        <f>SUM(E31:Q31)</f>
        <v>0</v>
      </c>
      <c r="E31" s="48"/>
      <c r="F31" s="47"/>
      <c r="G31" s="47"/>
      <c r="H31" s="47"/>
      <c r="I31" s="47"/>
      <c r="J31" s="47"/>
      <c r="K31" s="47"/>
      <c r="L31" s="47"/>
      <c r="M31" s="47"/>
      <c r="N31" s="47"/>
      <c r="O31" s="47"/>
      <c r="P31" s="47"/>
      <c r="Q31" s="47"/>
      <c r="R31" s="47"/>
      <c r="S31" s="8">
        <f>D31/$D$9</f>
        <v>0</v>
      </c>
    </row>
    <row r="32" spans="1:20" x14ac:dyDescent="0.25">
      <c r="A32" s="107" t="s">
        <v>11</v>
      </c>
      <c r="B32" s="107" t="s">
        <v>92</v>
      </c>
      <c r="C32" s="107" t="s">
        <v>156</v>
      </c>
      <c r="D32" s="108">
        <f>SUM(E32:Q32)</f>
        <v>0</v>
      </c>
      <c r="E32" s="48"/>
      <c r="F32" s="47"/>
      <c r="G32" s="47"/>
      <c r="H32" s="47"/>
      <c r="I32" s="47"/>
      <c r="J32" s="47"/>
      <c r="K32" s="47"/>
      <c r="L32" s="47"/>
      <c r="M32" s="47"/>
      <c r="N32" s="47"/>
      <c r="O32" s="47"/>
      <c r="P32" s="47"/>
      <c r="Q32" s="47"/>
      <c r="R32" s="47"/>
      <c r="S32" s="8">
        <f>D32/$D$9</f>
        <v>0</v>
      </c>
    </row>
    <row r="33" spans="1:20" x14ac:dyDescent="0.25">
      <c r="A33" s="107" t="s">
        <v>11</v>
      </c>
      <c r="B33" s="107" t="s">
        <v>92</v>
      </c>
      <c r="C33" s="107" t="s">
        <v>157</v>
      </c>
      <c r="D33" s="108">
        <f>SUM(E33:Q33)</f>
        <v>0</v>
      </c>
      <c r="E33" s="48"/>
      <c r="F33" s="47"/>
      <c r="G33" s="47"/>
      <c r="H33" s="47"/>
      <c r="I33" s="47"/>
      <c r="J33" s="47"/>
      <c r="K33" s="47"/>
      <c r="L33" s="47"/>
      <c r="M33" s="47"/>
      <c r="N33" s="47"/>
      <c r="O33" s="47"/>
      <c r="P33" s="47"/>
      <c r="Q33" s="47"/>
      <c r="R33" s="47"/>
      <c r="S33" s="8">
        <f>D33/$D$9</f>
        <v>0</v>
      </c>
    </row>
    <row r="34" spans="1:20" x14ac:dyDescent="0.25">
      <c r="A34" s="76"/>
      <c r="B34" s="76"/>
      <c r="C34" s="76"/>
      <c r="D34" s="49"/>
      <c r="E34" s="77"/>
      <c r="F34" s="78"/>
      <c r="G34" s="78"/>
      <c r="H34" s="78"/>
      <c r="I34" s="78"/>
      <c r="J34" s="78"/>
      <c r="K34" s="78"/>
      <c r="L34" s="78"/>
      <c r="M34" s="78"/>
      <c r="N34" s="78"/>
      <c r="O34" s="78"/>
      <c r="P34" s="78"/>
      <c r="Q34" s="78"/>
      <c r="R34" s="78"/>
      <c r="S34" s="50"/>
    </row>
    <row r="35" spans="1:20" x14ac:dyDescent="0.25">
      <c r="A35" s="56" t="s">
        <v>11</v>
      </c>
      <c r="B35" s="56" t="s">
        <v>94</v>
      </c>
      <c r="C35" s="56" t="s">
        <v>34</v>
      </c>
      <c r="D35" s="36">
        <f>SUM(E35:Q35)</f>
        <v>0</v>
      </c>
      <c r="E35" s="48"/>
      <c r="F35" s="47"/>
      <c r="G35" s="47"/>
      <c r="H35" s="47"/>
      <c r="I35" s="47"/>
      <c r="J35" s="47"/>
      <c r="K35" s="47"/>
      <c r="L35" s="47"/>
      <c r="M35" s="47"/>
      <c r="N35" s="47"/>
      <c r="O35" s="47"/>
      <c r="P35" s="47"/>
      <c r="Q35" s="47"/>
      <c r="R35" s="47"/>
      <c r="S35" s="8">
        <f t="shared" ref="S35:S57" si="2">D35/$D$9</f>
        <v>0</v>
      </c>
    </row>
    <row r="36" spans="1:20" x14ac:dyDescent="0.25">
      <c r="A36" s="56" t="s">
        <v>11</v>
      </c>
      <c r="B36" s="56" t="s">
        <v>100</v>
      </c>
      <c r="C36" s="56" t="s">
        <v>101</v>
      </c>
      <c r="D36" s="36">
        <f t="shared" ref="D36:D55" si="3">SUM(E36:Q36)</f>
        <v>0</v>
      </c>
      <c r="E36" s="48"/>
      <c r="F36" s="47"/>
      <c r="G36" s="47"/>
      <c r="H36" s="47"/>
      <c r="I36" s="47"/>
      <c r="J36" s="47"/>
      <c r="K36" s="47"/>
      <c r="L36" s="47"/>
      <c r="M36" s="47"/>
      <c r="N36" s="47"/>
      <c r="O36" s="47"/>
      <c r="P36" s="47"/>
      <c r="Q36" s="47"/>
      <c r="R36" s="47"/>
      <c r="S36" s="8">
        <f t="shared" si="2"/>
        <v>0</v>
      </c>
    </row>
    <row r="37" spans="1:20" hidden="1" x14ac:dyDescent="0.25">
      <c r="A37" s="56" t="s">
        <v>11</v>
      </c>
      <c r="B37" s="56"/>
      <c r="C37" s="56"/>
      <c r="D37" s="36">
        <f t="shared" si="3"/>
        <v>0</v>
      </c>
      <c r="E37" s="48"/>
      <c r="F37" s="47"/>
      <c r="G37" s="47"/>
      <c r="H37" s="47"/>
      <c r="I37" s="47"/>
      <c r="J37" s="47"/>
      <c r="K37" s="47"/>
      <c r="L37" s="47"/>
      <c r="M37" s="47"/>
      <c r="N37" s="47"/>
      <c r="O37" s="47"/>
      <c r="P37" s="47"/>
      <c r="Q37" s="47"/>
      <c r="R37" s="47"/>
      <c r="S37" s="8">
        <f t="shared" si="2"/>
        <v>0</v>
      </c>
    </row>
    <row r="38" spans="1:20" hidden="1" x14ac:dyDescent="0.25">
      <c r="A38" s="2" t="s">
        <v>12</v>
      </c>
      <c r="B38" s="56" t="s">
        <v>39</v>
      </c>
      <c r="C38" s="2" t="s">
        <v>36</v>
      </c>
      <c r="D38" s="36">
        <f t="shared" si="3"/>
        <v>0</v>
      </c>
      <c r="E38" s="48"/>
      <c r="F38" s="48"/>
      <c r="G38" s="48"/>
      <c r="H38" s="47"/>
      <c r="I38" s="47"/>
      <c r="J38" s="47"/>
      <c r="K38" s="47"/>
      <c r="L38" s="47"/>
      <c r="M38" s="47"/>
      <c r="N38" s="47"/>
      <c r="O38" s="47"/>
      <c r="P38" s="47"/>
      <c r="Q38" s="47"/>
      <c r="R38" s="47"/>
      <c r="S38" s="8">
        <f t="shared" si="2"/>
        <v>0</v>
      </c>
    </row>
    <row r="39" spans="1:20" hidden="1" x14ac:dyDescent="0.25">
      <c r="A39" s="2" t="s">
        <v>13</v>
      </c>
      <c r="B39" s="56" t="s">
        <v>40</v>
      </c>
      <c r="C39" s="2" t="s">
        <v>36</v>
      </c>
      <c r="D39" s="36">
        <f t="shared" si="3"/>
        <v>0</v>
      </c>
      <c r="E39" s="48"/>
      <c r="F39" s="48"/>
      <c r="G39" s="48"/>
      <c r="H39" s="47"/>
      <c r="I39" s="47"/>
      <c r="J39" s="47"/>
      <c r="K39" s="47"/>
      <c r="L39" s="47"/>
      <c r="M39" s="47"/>
      <c r="N39" s="47"/>
      <c r="O39" s="47"/>
      <c r="P39" s="47"/>
      <c r="Q39" s="47"/>
      <c r="R39" s="47"/>
      <c r="S39" s="8">
        <f t="shared" si="2"/>
        <v>0</v>
      </c>
    </row>
    <row r="40" spans="1:20" x14ac:dyDescent="0.25">
      <c r="A40" s="2" t="s">
        <v>14</v>
      </c>
      <c r="B40" s="56" t="s">
        <v>54</v>
      </c>
      <c r="C40" s="56" t="s">
        <v>59</v>
      </c>
      <c r="D40" s="36">
        <f t="shared" si="3"/>
        <v>0</v>
      </c>
      <c r="E40" s="48"/>
      <c r="F40" s="48"/>
      <c r="G40" s="47"/>
      <c r="H40" s="48"/>
      <c r="I40" s="47"/>
      <c r="J40" s="47"/>
      <c r="K40" s="47"/>
      <c r="L40" s="47"/>
      <c r="M40" s="47"/>
      <c r="N40" s="47"/>
      <c r="O40" s="47"/>
      <c r="P40" s="47"/>
      <c r="Q40" s="47"/>
      <c r="R40" s="47"/>
      <c r="S40" s="8">
        <f t="shared" si="2"/>
        <v>0</v>
      </c>
    </row>
    <row r="41" spans="1:20" x14ac:dyDescent="0.25">
      <c r="A41" s="56" t="s">
        <v>14</v>
      </c>
      <c r="B41" s="56" t="s">
        <v>93</v>
      </c>
      <c r="C41" s="56" t="s">
        <v>55</v>
      </c>
      <c r="D41" s="36">
        <f>SUM(E41:Q41)</f>
        <v>0</v>
      </c>
      <c r="E41" s="48"/>
      <c r="F41" s="48"/>
      <c r="G41" s="47"/>
      <c r="H41" s="48"/>
      <c r="I41" s="47"/>
      <c r="J41" s="47"/>
      <c r="K41" s="47"/>
      <c r="L41" s="47"/>
      <c r="M41" s="47"/>
      <c r="N41" s="47"/>
      <c r="O41" s="47"/>
      <c r="P41" s="47"/>
      <c r="Q41" s="47"/>
      <c r="R41" s="47"/>
      <c r="S41" s="8">
        <f t="shared" si="2"/>
        <v>0</v>
      </c>
    </row>
    <row r="42" spans="1:20" x14ac:dyDescent="0.25">
      <c r="A42" s="56" t="s">
        <v>78</v>
      </c>
      <c r="B42" s="56" t="s">
        <v>57</v>
      </c>
      <c r="C42" s="56" t="s">
        <v>79</v>
      </c>
      <c r="D42" s="36">
        <f t="shared" si="3"/>
        <v>0</v>
      </c>
      <c r="E42" s="48"/>
      <c r="F42" s="48"/>
      <c r="G42" s="47"/>
      <c r="H42" s="48"/>
      <c r="I42" s="48"/>
      <c r="J42" s="47"/>
      <c r="K42" s="47"/>
      <c r="L42" s="47"/>
      <c r="M42" s="47"/>
      <c r="N42" s="47"/>
      <c r="O42" s="47"/>
      <c r="P42" s="47"/>
      <c r="Q42" s="47"/>
      <c r="R42" s="47"/>
      <c r="S42" s="8">
        <f t="shared" si="2"/>
        <v>0</v>
      </c>
    </row>
    <row r="43" spans="1:20" x14ac:dyDescent="0.25">
      <c r="A43" s="56" t="s">
        <v>15</v>
      </c>
      <c r="B43" s="56" t="s">
        <v>53</v>
      </c>
      <c r="C43" s="56" t="s">
        <v>61</v>
      </c>
      <c r="D43" s="36">
        <f t="shared" si="3"/>
        <v>0</v>
      </c>
      <c r="E43" s="48"/>
      <c r="F43" s="48"/>
      <c r="G43" s="47"/>
      <c r="H43" s="48"/>
      <c r="I43" s="48"/>
      <c r="J43" s="47"/>
      <c r="K43" s="47"/>
      <c r="L43" s="47"/>
      <c r="M43" s="47"/>
      <c r="N43" s="47"/>
      <c r="O43" s="47"/>
      <c r="P43" s="47"/>
      <c r="Q43" s="47"/>
      <c r="R43" s="47"/>
      <c r="S43" s="8">
        <f t="shared" si="2"/>
        <v>0</v>
      </c>
    </row>
    <row r="44" spans="1:20" hidden="1" x14ac:dyDescent="0.25">
      <c r="A44" s="56" t="s">
        <v>15</v>
      </c>
      <c r="B44" s="56" t="s">
        <v>86</v>
      </c>
      <c r="C44" s="56" t="s">
        <v>87</v>
      </c>
      <c r="D44" s="36">
        <f t="shared" si="3"/>
        <v>0</v>
      </c>
      <c r="E44" s="48"/>
      <c r="F44" s="48"/>
      <c r="G44" s="47"/>
      <c r="H44" s="48"/>
      <c r="I44" s="48"/>
      <c r="J44" s="47"/>
      <c r="K44" s="47"/>
      <c r="L44" s="47"/>
      <c r="M44" s="47"/>
      <c r="N44" s="47"/>
      <c r="O44" s="47"/>
      <c r="P44" s="47"/>
      <c r="Q44" s="47"/>
      <c r="R44" s="47"/>
      <c r="S44" s="8">
        <f t="shared" si="2"/>
        <v>0</v>
      </c>
    </row>
    <row r="45" spans="1:20" x14ac:dyDescent="0.25">
      <c r="A45" s="2" t="s">
        <v>56</v>
      </c>
      <c r="B45" s="56" t="s">
        <v>54</v>
      </c>
      <c r="C45" s="56" t="s">
        <v>60</v>
      </c>
      <c r="D45" s="36">
        <f t="shared" si="3"/>
        <v>0</v>
      </c>
      <c r="E45" s="48"/>
      <c r="F45" s="48"/>
      <c r="G45" s="47"/>
      <c r="H45" s="48"/>
      <c r="I45" s="47"/>
      <c r="J45" s="48"/>
      <c r="K45" s="48"/>
      <c r="L45" s="47"/>
      <c r="M45" s="47"/>
      <c r="N45" s="47"/>
      <c r="O45" s="47"/>
      <c r="P45" s="47"/>
      <c r="Q45" s="47"/>
      <c r="R45" s="47"/>
      <c r="S45" s="8">
        <f t="shared" si="2"/>
        <v>0</v>
      </c>
    </row>
    <row r="46" spans="1:20" x14ac:dyDescent="0.25">
      <c r="A46" s="81" t="s">
        <v>19</v>
      </c>
      <c r="B46" s="76" t="s">
        <v>84</v>
      </c>
      <c r="C46" s="76" t="s">
        <v>85</v>
      </c>
      <c r="D46" s="49">
        <f>SUM(E46:Q46)</f>
        <v>0</v>
      </c>
      <c r="E46" s="77"/>
      <c r="F46" s="78"/>
      <c r="G46" s="78"/>
      <c r="H46" s="78"/>
      <c r="I46" s="78"/>
      <c r="J46" s="78"/>
      <c r="K46" s="78"/>
      <c r="L46" s="77"/>
      <c r="M46" s="77"/>
      <c r="N46" s="77"/>
      <c r="O46" s="78"/>
      <c r="P46" s="78"/>
      <c r="Q46" s="78"/>
      <c r="R46" s="78"/>
      <c r="S46" s="50">
        <f t="shared" si="2"/>
        <v>0</v>
      </c>
      <c r="T46" s="8">
        <f>SUM(S31:S46)</f>
        <v>0</v>
      </c>
    </row>
    <row r="47" spans="1:20" x14ac:dyDescent="0.25">
      <c r="A47" s="2" t="s">
        <v>11</v>
      </c>
      <c r="B47" s="56" t="s">
        <v>46</v>
      </c>
      <c r="C47" s="2" t="s">
        <v>47</v>
      </c>
      <c r="D47" s="36">
        <f t="shared" si="3"/>
        <v>0</v>
      </c>
      <c r="S47" s="8">
        <f t="shared" si="2"/>
        <v>0</v>
      </c>
    </row>
    <row r="48" spans="1:20" x14ac:dyDescent="0.25">
      <c r="A48" s="2" t="s">
        <v>11</v>
      </c>
      <c r="B48" s="56" t="s">
        <v>108</v>
      </c>
      <c r="C48" s="2" t="s">
        <v>109</v>
      </c>
      <c r="D48" s="36">
        <f t="shared" si="3"/>
        <v>0</v>
      </c>
      <c r="S48" s="8">
        <f t="shared" si="2"/>
        <v>0</v>
      </c>
    </row>
    <row r="49" spans="1:20" x14ac:dyDescent="0.25">
      <c r="A49" s="56" t="s">
        <v>12</v>
      </c>
      <c r="B49" s="56" t="s">
        <v>48</v>
      </c>
      <c r="C49" s="56" t="s">
        <v>49</v>
      </c>
      <c r="D49" s="36">
        <f t="shared" si="3"/>
        <v>0</v>
      </c>
      <c r="S49" s="8">
        <f t="shared" si="2"/>
        <v>0</v>
      </c>
    </row>
    <row r="50" spans="1:20" x14ac:dyDescent="0.25">
      <c r="A50" s="56" t="s">
        <v>14</v>
      </c>
      <c r="B50" s="56" t="s">
        <v>104</v>
      </c>
      <c r="C50" s="56" t="s">
        <v>105</v>
      </c>
      <c r="D50" s="36">
        <f t="shared" si="3"/>
        <v>0</v>
      </c>
      <c r="S50" s="8">
        <f t="shared" si="2"/>
        <v>0</v>
      </c>
    </row>
    <row r="51" spans="1:20" x14ac:dyDescent="0.25">
      <c r="A51" s="56" t="s">
        <v>15</v>
      </c>
      <c r="B51" s="56" t="s">
        <v>41</v>
      </c>
      <c r="C51" s="56" t="s">
        <v>44</v>
      </c>
      <c r="D51" s="36">
        <f t="shared" si="3"/>
        <v>0</v>
      </c>
      <c r="S51" s="8">
        <f t="shared" si="2"/>
        <v>0</v>
      </c>
    </row>
    <row r="52" spans="1:20" x14ac:dyDescent="0.25">
      <c r="A52" s="2" t="s">
        <v>15</v>
      </c>
      <c r="B52" s="56" t="s">
        <v>58</v>
      </c>
      <c r="C52" s="56" t="s">
        <v>81</v>
      </c>
      <c r="D52" s="36">
        <f t="shared" si="3"/>
        <v>0</v>
      </c>
      <c r="S52" s="8">
        <f t="shared" si="2"/>
        <v>0</v>
      </c>
    </row>
    <row r="53" spans="1:20" x14ac:dyDescent="0.25">
      <c r="A53" s="56" t="s">
        <v>15</v>
      </c>
      <c r="B53" s="56" t="s">
        <v>95</v>
      </c>
      <c r="C53" s="56" t="s">
        <v>62</v>
      </c>
      <c r="D53" s="36">
        <f t="shared" si="3"/>
        <v>0</v>
      </c>
      <c r="S53" s="8">
        <f t="shared" si="2"/>
        <v>0</v>
      </c>
    </row>
    <row r="54" spans="1:20" x14ac:dyDescent="0.25">
      <c r="A54" s="56" t="s">
        <v>19</v>
      </c>
      <c r="B54" s="56" t="s">
        <v>110</v>
      </c>
      <c r="C54" s="56" t="s">
        <v>50</v>
      </c>
      <c r="D54" s="36">
        <f t="shared" si="3"/>
        <v>0</v>
      </c>
      <c r="S54" s="8">
        <f t="shared" si="2"/>
        <v>0</v>
      </c>
    </row>
    <row r="55" spans="1:20" x14ac:dyDescent="0.25">
      <c r="A55" s="2" t="s">
        <v>21</v>
      </c>
      <c r="B55" s="56" t="s">
        <v>107</v>
      </c>
      <c r="C55" t="s">
        <v>63</v>
      </c>
      <c r="D55" s="36">
        <f t="shared" si="3"/>
        <v>0</v>
      </c>
      <c r="P55" s="100"/>
      <c r="S55" s="8">
        <f t="shared" si="2"/>
        <v>0</v>
      </c>
    </row>
    <row r="56" spans="1:20" x14ac:dyDescent="0.25">
      <c r="A56" s="2" t="s">
        <v>21</v>
      </c>
      <c r="B56" s="56" t="s">
        <v>106</v>
      </c>
      <c r="C56" t="s">
        <v>45</v>
      </c>
      <c r="D56" s="36">
        <f>SUM(E56:R56)</f>
        <v>0</v>
      </c>
      <c r="S56" s="8">
        <f t="shared" si="2"/>
        <v>0</v>
      </c>
    </row>
    <row r="57" spans="1:20" x14ac:dyDescent="0.25">
      <c r="A57" s="56" t="s">
        <v>21</v>
      </c>
      <c r="B57" s="56" t="s">
        <v>102</v>
      </c>
      <c r="C57" s="56" t="s">
        <v>103</v>
      </c>
      <c r="D57" s="36">
        <f>SUM(E57:R57)</f>
        <v>0</v>
      </c>
      <c r="S57" s="8">
        <f t="shared" si="2"/>
        <v>0</v>
      </c>
    </row>
    <row r="58" spans="1:20" ht="13.8" thickBot="1" x14ac:dyDescent="0.3">
      <c r="A58" s="70" t="s">
        <v>56</v>
      </c>
      <c r="B58" s="70"/>
      <c r="C58" s="75" t="s">
        <v>97</v>
      </c>
      <c r="D58" s="71">
        <f>SUM(E58:R58)</f>
        <v>38028031.450000003</v>
      </c>
      <c r="E58" s="72"/>
      <c r="F58" s="73"/>
      <c r="G58" s="73"/>
      <c r="H58" s="73"/>
      <c r="I58" s="73"/>
      <c r="J58" s="73"/>
      <c r="K58" s="73"/>
      <c r="L58" s="72"/>
      <c r="M58" s="72"/>
      <c r="N58" s="72"/>
      <c r="O58" s="73"/>
      <c r="P58" s="72"/>
      <c r="Q58" s="72"/>
      <c r="R58" s="72">
        <f>40000000-SUM(D29:D57)</f>
        <v>38028031.450000003</v>
      </c>
      <c r="S58" s="74">
        <f>D58/D9</f>
        <v>0.9507007862500001</v>
      </c>
      <c r="T58" s="8"/>
    </row>
    <row r="59" spans="1:20" ht="13.8" thickTop="1" x14ac:dyDescent="0.25">
      <c r="A59" s="2" t="s">
        <v>11</v>
      </c>
      <c r="B59" s="56" t="s">
        <v>96</v>
      </c>
      <c r="C59" s="2" t="s">
        <v>42</v>
      </c>
      <c r="D59" s="36">
        <f>SUM(E59:Q59)</f>
        <v>22193533.360000003</v>
      </c>
      <c r="E59" s="48">
        <f>21725556.44+467976.92</f>
        <v>22193533.360000003</v>
      </c>
      <c r="F59" s="47"/>
      <c r="G59" s="47"/>
      <c r="H59" s="47"/>
      <c r="I59" s="47"/>
      <c r="J59" s="47"/>
      <c r="K59" s="47"/>
      <c r="L59" s="48"/>
      <c r="M59" s="48"/>
      <c r="N59" s="48"/>
      <c r="O59" s="47"/>
      <c r="P59" s="48"/>
      <c r="Q59" s="48"/>
      <c r="R59" s="48"/>
      <c r="S59" s="8">
        <f>D59/$D$11</f>
        <v>0.44263568707491979</v>
      </c>
      <c r="T59" s="8"/>
    </row>
    <row r="60" spans="1:20" x14ac:dyDescent="0.25">
      <c r="A60" s="2" t="s">
        <v>11</v>
      </c>
      <c r="B60" s="56" t="s">
        <v>129</v>
      </c>
      <c r="C60" s="2" t="s">
        <v>43</v>
      </c>
      <c r="D60" s="36">
        <f>SUM(E60:Q60)</f>
        <v>24671525.91</v>
      </c>
      <c r="E60" s="36">
        <f>15000000+4000000+5671525.91</f>
        <v>24671525.91</v>
      </c>
      <c r="S60" s="8">
        <f>D60/$D11</f>
        <v>0.49205764783907013</v>
      </c>
    </row>
    <row r="61" spans="1:20" x14ac:dyDescent="0.25">
      <c r="C61" s="101" t="s">
        <v>97</v>
      </c>
      <c r="D61" s="49">
        <f>SUM(E61:R61)</f>
        <v>3274443.73</v>
      </c>
      <c r="E61" s="49"/>
      <c r="F61" s="49"/>
      <c r="G61" s="49"/>
      <c r="H61" s="49"/>
      <c r="I61" s="49"/>
      <c r="J61" s="49"/>
      <c r="K61" s="49"/>
      <c r="L61" s="49"/>
      <c r="M61" s="49"/>
      <c r="N61" s="49"/>
      <c r="O61" s="49"/>
      <c r="P61" s="49"/>
      <c r="Q61" s="49"/>
      <c r="R61" s="49">
        <v>3274443.73</v>
      </c>
      <c r="S61" s="50">
        <f>D61/$D11</f>
        <v>6.5306665086010129E-2</v>
      </c>
    </row>
    <row r="62" spans="1:20" x14ac:dyDescent="0.25">
      <c r="C62" s="101"/>
      <c r="D62" s="103"/>
    </row>
    <row r="63" spans="1:20" s="8" customFormat="1" ht="13.8" thickBot="1" x14ac:dyDescent="0.3">
      <c r="B63" s="51"/>
      <c r="C63" s="52" t="s">
        <v>25</v>
      </c>
      <c r="D63" s="53"/>
      <c r="E63" s="53">
        <f>E5/D5</f>
        <v>0.43877529243807839</v>
      </c>
      <c r="F63" s="53">
        <f>F5/D5</f>
        <v>4.9264676433421806E-2</v>
      </c>
      <c r="G63" s="53">
        <f>G5/D5</f>
        <v>0</v>
      </c>
      <c r="H63" s="53">
        <f>H5/D5</f>
        <v>3.69853819848432E-3</v>
      </c>
      <c r="I63" s="53">
        <f>I5/D5</f>
        <v>8.5217069245122599E-4</v>
      </c>
      <c r="J63" s="53">
        <f>J5/D5</f>
        <v>1.2285368297968073E-3</v>
      </c>
      <c r="K63" s="53">
        <f>K5/D5</f>
        <v>8.109350098549583E-3</v>
      </c>
      <c r="L63" s="53">
        <f>L5/D5</f>
        <v>1.5520491954876684E-2</v>
      </c>
      <c r="M63" s="53">
        <f>M5/D5</f>
        <v>1.9087183310145086E-3</v>
      </c>
      <c r="N63" s="53">
        <f>N5/D5</f>
        <v>5.8745308289197664E-3</v>
      </c>
      <c r="O63" s="53">
        <f>O5/D5</f>
        <v>1.7852708639883568E-3</v>
      </c>
      <c r="P63" s="53">
        <f>P5/D5</f>
        <v>4.4789885014528859E-3</v>
      </c>
      <c r="Q63" s="53">
        <f>Q5/D5</f>
        <v>8.3871623104018436E-4</v>
      </c>
      <c r="R63" s="53"/>
      <c r="S63" s="53"/>
    </row>
    <row r="64" spans="1:20" s="8" customFormat="1" ht="13.8" thickTop="1" x14ac:dyDescent="0.25">
      <c r="A64" s="54"/>
      <c r="C64" s="5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D30FC-0B31-472A-B903-D4214BDC436F}">
  <dimension ref="A1:T64"/>
  <sheetViews>
    <sheetView workbookViewId="0">
      <selection activeCell="V19" sqref="V19"/>
    </sheetView>
  </sheetViews>
  <sheetFormatPr defaultRowHeight="13.2" x14ac:dyDescent="0.25"/>
  <cols>
    <col min="2" max="2" width="28" customWidth="1"/>
    <col min="3" max="3" width="36.5546875" customWidth="1"/>
    <col min="4" max="4" width="15.44140625" style="36" customWidth="1"/>
    <col min="5" max="5" width="15.5546875" style="36" hidden="1" customWidth="1"/>
    <col min="6" max="6" width="12.6640625" style="36" hidden="1" customWidth="1"/>
    <col min="7" max="7" width="10.88671875" style="36" hidden="1" customWidth="1"/>
    <col min="8" max="8" width="13" style="36" hidden="1" customWidth="1"/>
    <col min="9" max="9" width="14.33203125" style="36" hidden="1" customWidth="1"/>
    <col min="10" max="10" width="12.6640625" style="36" hidden="1" customWidth="1"/>
    <col min="11" max="11" width="13" style="36" hidden="1" customWidth="1"/>
    <col min="12" max="12" width="13.44140625" style="36" hidden="1" customWidth="1"/>
    <col min="13" max="13" width="11.33203125" style="36" hidden="1" customWidth="1"/>
    <col min="14" max="14" width="13.33203125" style="36" hidden="1" customWidth="1"/>
    <col min="15" max="15" width="12.6640625" style="36" hidden="1" customWidth="1"/>
    <col min="16" max="16" width="14.44140625" style="36" hidden="1" customWidth="1"/>
    <col min="17" max="17" width="12.6640625" style="36" customWidth="1"/>
    <col min="18" max="18" width="14.33203125" style="36" customWidth="1"/>
    <col min="19" max="19" width="12.6640625" style="8" customWidth="1"/>
    <col min="20" max="20" width="11.33203125" bestFit="1" customWidth="1"/>
  </cols>
  <sheetData>
    <row r="1" spans="1:19" x14ac:dyDescent="0.25">
      <c r="A1" s="64" t="s">
        <v>131</v>
      </c>
    </row>
    <row r="3" spans="1:19" x14ac:dyDescent="0.25">
      <c r="A3" s="37"/>
      <c r="B3" s="37"/>
      <c r="C3" s="37"/>
      <c r="D3" s="38"/>
      <c r="E3" s="38"/>
      <c r="F3" s="38"/>
      <c r="G3" s="38"/>
      <c r="H3" s="38"/>
      <c r="I3" s="38"/>
      <c r="J3" s="38"/>
      <c r="K3" s="38"/>
      <c r="L3" s="38"/>
      <c r="M3" s="38"/>
      <c r="N3" s="38"/>
      <c r="O3" s="38"/>
      <c r="P3" s="38"/>
      <c r="Q3" s="38"/>
      <c r="R3" s="91" t="s">
        <v>56</v>
      </c>
      <c r="S3" s="39" t="s">
        <v>7</v>
      </c>
    </row>
    <row r="4" spans="1:19" x14ac:dyDescent="0.25">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8" thickBot="1" x14ac:dyDescent="0.3">
      <c r="C5" s="43" t="s">
        <v>24</v>
      </c>
      <c r="D5" s="44">
        <f>D7+D9+D11</f>
        <v>115139503</v>
      </c>
      <c r="E5" s="44">
        <f t="shared" ref="E5:R5" si="0">E7+E9+E11</f>
        <v>57996586.950000003</v>
      </c>
      <c r="F5" s="44">
        <f t="shared" si="0"/>
        <v>6692886.4499999993</v>
      </c>
      <c r="G5" s="44">
        <f t="shared" si="0"/>
        <v>0</v>
      </c>
      <c r="H5" s="44">
        <f t="shared" si="0"/>
        <v>927218.27</v>
      </c>
      <c r="I5" s="44">
        <f t="shared" si="0"/>
        <v>450485.73</v>
      </c>
      <c r="J5" s="44">
        <f t="shared" si="0"/>
        <v>216168.12</v>
      </c>
      <c r="K5" s="44">
        <f t="shared" si="0"/>
        <v>1374259.93</v>
      </c>
      <c r="L5" s="44">
        <f t="shared" si="0"/>
        <v>1801639.76</v>
      </c>
      <c r="M5" s="44">
        <f t="shared" si="0"/>
        <v>730427.17</v>
      </c>
      <c r="N5" s="44">
        <f t="shared" si="0"/>
        <v>1475302.9600000002</v>
      </c>
      <c r="O5" s="44">
        <f t="shared" si="0"/>
        <v>837100.14999999991</v>
      </c>
      <c r="P5" s="44">
        <f t="shared" si="0"/>
        <v>655160.56000000006</v>
      </c>
      <c r="Q5" s="44">
        <f t="shared" si="0"/>
        <v>141392.63999999998</v>
      </c>
      <c r="R5" s="44">
        <f t="shared" si="0"/>
        <v>41840874.309999995</v>
      </c>
      <c r="S5" s="45"/>
    </row>
    <row r="6" spans="1:19" s="43" customFormat="1" ht="13.8" thickTop="1" x14ac:dyDescent="0.25">
      <c r="D6" s="48"/>
      <c r="E6" s="48"/>
      <c r="F6" s="48"/>
      <c r="G6" s="48"/>
      <c r="H6" s="48"/>
      <c r="I6" s="48"/>
      <c r="J6" s="48"/>
      <c r="K6" s="48"/>
      <c r="L6" s="48"/>
      <c r="M6" s="48"/>
      <c r="N6" s="48"/>
      <c r="O6" s="48"/>
      <c r="P6" s="48"/>
      <c r="Q6" s="48"/>
      <c r="R6" s="48"/>
      <c r="S6" s="55"/>
    </row>
    <row r="7" spans="1:19" s="43" customFormat="1" ht="13.8" thickBot="1" x14ac:dyDescent="0.3">
      <c r="C7" s="69" t="s">
        <v>76</v>
      </c>
      <c r="D7" s="44">
        <f>SUM(E7:R7)</f>
        <v>25000000</v>
      </c>
      <c r="E7" s="44">
        <f>E13</f>
        <v>8400626.0800000001</v>
      </c>
      <c r="F7" s="44">
        <f>F14</f>
        <v>4622218.379999999</v>
      </c>
      <c r="G7" s="44"/>
      <c r="H7" s="44">
        <f>H15</f>
        <v>927218.27</v>
      </c>
      <c r="I7" s="44">
        <f>I16</f>
        <v>450485.73</v>
      </c>
      <c r="J7" s="44">
        <f>J17</f>
        <v>216168.12</v>
      </c>
      <c r="K7" s="44">
        <f>K18</f>
        <v>1374259.93</v>
      </c>
      <c r="L7" s="44">
        <f>L19</f>
        <v>1801639.76</v>
      </c>
      <c r="M7" s="44">
        <f>M21+M22</f>
        <v>730427.17</v>
      </c>
      <c r="N7" s="44">
        <f>N23</f>
        <v>1475302.9600000002</v>
      </c>
      <c r="O7" s="44">
        <f>O24</f>
        <v>837100.14999999991</v>
      </c>
      <c r="P7" s="44">
        <f>P26</f>
        <v>655160.56000000006</v>
      </c>
      <c r="Q7" s="44">
        <f>Q27</f>
        <v>141392.63999999998</v>
      </c>
      <c r="R7" s="44">
        <f>R28</f>
        <v>3368000.25</v>
      </c>
      <c r="S7" s="45">
        <f>SUM(S13:S28)</f>
        <v>0.99999999999999989</v>
      </c>
    </row>
    <row r="8" spans="1:19" s="43" customFormat="1" ht="13.8" thickTop="1" x14ac:dyDescent="0.25">
      <c r="D8" s="48"/>
      <c r="E8" s="48"/>
      <c r="F8" s="48"/>
      <c r="G8" s="48"/>
      <c r="H8" s="48"/>
      <c r="I8" s="48"/>
      <c r="J8" s="48"/>
      <c r="K8" s="48"/>
      <c r="L8" s="48"/>
      <c r="M8" s="48"/>
      <c r="N8" s="48"/>
      <c r="O8" s="48"/>
      <c r="P8" s="48"/>
      <c r="Q8" s="48"/>
      <c r="R8" s="48"/>
      <c r="S8" s="55"/>
    </row>
    <row r="9" spans="1:19" s="43" customFormat="1" ht="13.8" thickBot="1" x14ac:dyDescent="0.3">
      <c r="C9" s="69" t="s">
        <v>77</v>
      </c>
      <c r="D9" s="44">
        <f>SUM(E9:R9)</f>
        <v>40000000</v>
      </c>
      <c r="E9" s="44">
        <f>E31+E32+E33+E35+E47+E36+E48</f>
        <v>0</v>
      </c>
      <c r="F9" s="44">
        <f>F29</f>
        <v>2070668.07</v>
      </c>
      <c r="G9" s="44"/>
      <c r="H9" s="44">
        <f>H41+H40+H50</f>
        <v>0</v>
      </c>
      <c r="I9" s="44">
        <f>I42+I43+I51+I52+I53+I44</f>
        <v>0</v>
      </c>
      <c r="J9" s="44">
        <v>0</v>
      </c>
      <c r="K9" s="44">
        <f>K45</f>
        <v>0</v>
      </c>
      <c r="L9" s="44">
        <v>0</v>
      </c>
      <c r="M9" s="44">
        <v>0</v>
      </c>
      <c r="N9" s="44">
        <f>N46+N54</f>
        <v>0</v>
      </c>
      <c r="O9" s="44"/>
      <c r="P9" s="44">
        <f>P55+P56+P57</f>
        <v>0</v>
      </c>
      <c r="Q9" s="44">
        <v>0</v>
      </c>
      <c r="R9" s="44">
        <f>R58</f>
        <v>37929331.93</v>
      </c>
      <c r="S9" s="45">
        <f>SUM(S29:S58)</f>
        <v>1</v>
      </c>
    </row>
    <row r="10" spans="1:19" ht="13.8" thickTop="1" x14ac:dyDescent="0.25">
      <c r="A10" s="46"/>
      <c r="B10" s="2"/>
      <c r="C10" s="2"/>
      <c r="D10" s="47"/>
      <c r="E10" s="47"/>
      <c r="F10" s="47"/>
      <c r="G10" s="47"/>
      <c r="H10" s="47"/>
      <c r="I10" s="47"/>
      <c r="J10" s="47"/>
      <c r="K10" s="47"/>
      <c r="L10" s="47"/>
      <c r="M10" s="47"/>
      <c r="N10" s="47"/>
      <c r="O10" s="47"/>
      <c r="P10" s="47"/>
      <c r="Q10" s="47"/>
      <c r="R10" s="47"/>
    </row>
    <row r="11" spans="1:19" ht="13.8" thickBot="1" x14ac:dyDescent="0.3">
      <c r="A11" s="46"/>
      <c r="B11" s="2"/>
      <c r="C11" s="69" t="s">
        <v>88</v>
      </c>
      <c r="D11" s="44">
        <f>SUM(E11:R11)</f>
        <v>50139503</v>
      </c>
      <c r="E11" s="44">
        <f>E59+E60</f>
        <v>49595960.870000005</v>
      </c>
      <c r="F11" s="80"/>
      <c r="G11" s="80"/>
      <c r="H11" s="80"/>
      <c r="I11" s="80"/>
      <c r="J11" s="80"/>
      <c r="K11" s="80"/>
      <c r="L11" s="80"/>
      <c r="M11" s="80"/>
      <c r="N11" s="80"/>
      <c r="O11" s="80"/>
      <c r="P11" s="80"/>
      <c r="Q11" s="80"/>
      <c r="R11" s="80">
        <f>R61</f>
        <v>543542.12999999523</v>
      </c>
      <c r="S11" s="45">
        <f>S59+S60+S61</f>
        <v>1</v>
      </c>
    </row>
    <row r="12" spans="1:19" ht="13.8" thickTop="1" x14ac:dyDescent="0.25">
      <c r="A12" s="46"/>
      <c r="B12" s="2"/>
      <c r="C12" s="2"/>
      <c r="D12" s="47"/>
      <c r="E12" s="47"/>
      <c r="F12" s="47"/>
      <c r="G12" s="47"/>
      <c r="H12" s="47"/>
      <c r="I12" s="47"/>
      <c r="J12" s="47"/>
      <c r="K12" s="47"/>
      <c r="L12" s="47"/>
      <c r="M12" s="47"/>
      <c r="N12" s="47"/>
      <c r="O12" s="47"/>
      <c r="P12" s="47"/>
      <c r="Q12" s="47"/>
      <c r="R12" s="47"/>
    </row>
    <row r="13" spans="1:19" x14ac:dyDescent="0.25">
      <c r="A13" s="56" t="s">
        <v>11</v>
      </c>
      <c r="B13" s="56" t="s">
        <v>167</v>
      </c>
      <c r="C13" s="56" t="s">
        <v>32</v>
      </c>
      <c r="D13" s="36">
        <f t="shared" ref="D13:D26" si="1">SUM(E13:R13)</f>
        <v>8400626.0800000001</v>
      </c>
      <c r="E13" s="181">
        <f>1100626.08+7300000</f>
        <v>8400626.0800000001</v>
      </c>
      <c r="F13" s="47"/>
      <c r="G13" s="47"/>
      <c r="H13" s="47"/>
      <c r="I13" s="47"/>
      <c r="J13" s="47"/>
      <c r="K13" s="47"/>
      <c r="L13" s="47"/>
      <c r="M13" s="47"/>
      <c r="N13" s="47"/>
      <c r="O13" s="47"/>
      <c r="P13" s="47"/>
      <c r="Q13" s="47"/>
      <c r="R13" s="47"/>
      <c r="S13" s="8">
        <f>D13/D7</f>
        <v>0.33602504319999998</v>
      </c>
    </row>
    <row r="14" spans="1:19" x14ac:dyDescent="0.25">
      <c r="A14" s="2" t="s">
        <v>12</v>
      </c>
      <c r="B14" s="56" t="s">
        <v>121</v>
      </c>
      <c r="C14" s="56" t="s">
        <v>32</v>
      </c>
      <c r="D14" s="36">
        <f t="shared" si="1"/>
        <v>4622218.379999999</v>
      </c>
      <c r="E14" s="48"/>
      <c r="F14" s="181">
        <f>517831.28+359471.9+983461.58+920982.11+932858.98+608947.88+89533.01+16004.89+65342.71+87837.97+11117.16+14969.81+13859.1</f>
        <v>4622218.379999999</v>
      </c>
      <c r="G14" s="47"/>
      <c r="H14" s="47"/>
      <c r="I14" s="47"/>
      <c r="J14" s="47"/>
      <c r="K14" s="47"/>
      <c r="L14" s="47"/>
      <c r="M14" s="47"/>
      <c r="N14" s="47"/>
      <c r="O14" s="47"/>
      <c r="P14" s="47"/>
      <c r="Q14" s="47"/>
      <c r="R14" s="47"/>
      <c r="S14" s="8">
        <f>D14/D7</f>
        <v>0.18488873519999996</v>
      </c>
    </row>
    <row r="15" spans="1:19" x14ac:dyDescent="0.25">
      <c r="A15" s="2" t="s">
        <v>14</v>
      </c>
      <c r="B15" s="56" t="s">
        <v>122</v>
      </c>
      <c r="C15" s="56" t="s">
        <v>32</v>
      </c>
      <c r="D15" s="36">
        <f t="shared" si="1"/>
        <v>927218.27</v>
      </c>
      <c r="E15" s="48"/>
      <c r="F15" s="48"/>
      <c r="G15" s="47"/>
      <c r="H15" s="181">
        <f>21886.49+424374.56+479483.93+1473.29</f>
        <v>927218.27</v>
      </c>
      <c r="I15" s="47"/>
      <c r="J15" s="47"/>
      <c r="K15" s="47"/>
      <c r="L15" s="47"/>
      <c r="M15" s="47"/>
      <c r="N15" s="47"/>
      <c r="O15" s="47"/>
      <c r="P15" s="47"/>
      <c r="Q15" s="47"/>
      <c r="R15" s="47"/>
      <c r="S15" s="8">
        <f>D15/D7</f>
        <v>3.7088730800000004E-2</v>
      </c>
    </row>
    <row r="16" spans="1:19" x14ac:dyDescent="0.25">
      <c r="A16" s="2" t="s">
        <v>15</v>
      </c>
      <c r="B16" s="56" t="s">
        <v>120</v>
      </c>
      <c r="C16" s="56" t="s">
        <v>32</v>
      </c>
      <c r="D16" s="36">
        <f t="shared" si="1"/>
        <v>450485.73</v>
      </c>
      <c r="E16" s="48"/>
      <c r="F16" s="48"/>
      <c r="G16" s="47"/>
      <c r="H16" s="48"/>
      <c r="I16" s="181">
        <f>160007.15+134506.43+155972.15</f>
        <v>450485.73</v>
      </c>
      <c r="J16" s="47"/>
      <c r="K16" s="47"/>
      <c r="L16" s="47"/>
      <c r="M16" s="47"/>
      <c r="N16" s="47"/>
      <c r="O16" s="47"/>
      <c r="P16" s="47"/>
      <c r="Q16" s="47"/>
      <c r="R16" s="47"/>
      <c r="S16" s="8">
        <f>D16/D7</f>
        <v>1.8019429199999999E-2</v>
      </c>
    </row>
    <row r="17" spans="1:20" x14ac:dyDescent="0.25">
      <c r="A17" s="2" t="s">
        <v>16</v>
      </c>
      <c r="B17" s="56" t="s">
        <v>84</v>
      </c>
      <c r="C17" s="56" t="s">
        <v>32</v>
      </c>
      <c r="D17" s="36">
        <f t="shared" si="1"/>
        <v>216168.12</v>
      </c>
      <c r="E17" s="48"/>
      <c r="F17" s="48"/>
      <c r="G17" s="47"/>
      <c r="H17" s="48"/>
      <c r="I17" s="47"/>
      <c r="J17" s="181">
        <v>216168.12</v>
      </c>
      <c r="K17" s="48"/>
      <c r="L17" s="47"/>
      <c r="M17" s="47"/>
      <c r="N17" s="47"/>
      <c r="O17" s="47"/>
      <c r="P17" s="47"/>
      <c r="Q17" s="47"/>
      <c r="R17" s="47"/>
      <c r="S17" s="8">
        <f>D17/D7</f>
        <v>8.6467248E-3</v>
      </c>
    </row>
    <row r="18" spans="1:20" x14ac:dyDescent="0.25">
      <c r="A18" s="2" t="s">
        <v>56</v>
      </c>
      <c r="B18" s="56" t="s">
        <v>54</v>
      </c>
      <c r="C18" s="56" t="s">
        <v>36</v>
      </c>
      <c r="D18" s="36">
        <f t="shared" si="1"/>
        <v>1374259.93</v>
      </c>
      <c r="E18" s="48"/>
      <c r="F18" s="48"/>
      <c r="G18" s="47"/>
      <c r="H18" s="48"/>
      <c r="I18" s="47"/>
      <c r="J18" s="48"/>
      <c r="K18" s="181">
        <v>1374259.93</v>
      </c>
      <c r="L18" s="47"/>
      <c r="M18" s="47"/>
      <c r="N18" s="47"/>
      <c r="O18" s="47"/>
      <c r="P18" s="47"/>
      <c r="Q18" s="47"/>
      <c r="R18" s="47"/>
      <c r="S18" s="8">
        <f>D18/D7</f>
        <v>5.49703972E-2</v>
      </c>
    </row>
    <row r="19" spans="1:20" x14ac:dyDescent="0.25">
      <c r="A19" s="2" t="s">
        <v>17</v>
      </c>
      <c r="B19" s="56" t="s">
        <v>128</v>
      </c>
      <c r="C19" s="56" t="s">
        <v>32</v>
      </c>
      <c r="D19" s="36">
        <f t="shared" si="1"/>
        <v>1801639.76</v>
      </c>
      <c r="E19" s="48"/>
      <c r="F19" s="48"/>
      <c r="G19" s="47"/>
      <c r="H19" s="48"/>
      <c r="I19" s="47"/>
      <c r="J19" s="48"/>
      <c r="K19" s="48"/>
      <c r="L19" s="181">
        <f>1437979.34+2221.42+287454.11+73984.89</f>
        <v>1801639.76</v>
      </c>
      <c r="M19" s="47"/>
      <c r="N19" s="47"/>
      <c r="O19" s="47"/>
      <c r="P19" s="47"/>
      <c r="Q19" s="47"/>
      <c r="R19" s="47"/>
      <c r="S19" s="8">
        <f>D19/D7</f>
        <v>7.2065590400000004E-2</v>
      </c>
    </row>
    <row r="20" spans="1:20" hidden="1" x14ac:dyDescent="0.25">
      <c r="A20" s="2" t="s">
        <v>17</v>
      </c>
      <c r="B20" s="2" t="s">
        <v>37</v>
      </c>
      <c r="C20" s="2" t="s">
        <v>38</v>
      </c>
      <c r="D20" s="36">
        <f t="shared" si="1"/>
        <v>0</v>
      </c>
      <c r="E20" s="48"/>
      <c r="F20" s="47"/>
      <c r="G20" s="47"/>
      <c r="H20" s="47"/>
      <c r="I20" s="47"/>
      <c r="J20" s="47"/>
      <c r="K20" s="47"/>
      <c r="L20" s="48"/>
      <c r="M20" s="47"/>
      <c r="N20" s="47"/>
      <c r="O20" s="47"/>
      <c r="P20" s="47"/>
      <c r="Q20" s="47"/>
      <c r="R20" s="47"/>
      <c r="S20" s="8">
        <f>D20/D15</f>
        <v>0</v>
      </c>
    </row>
    <row r="21" spans="1:20" x14ac:dyDescent="0.25">
      <c r="A21" s="2" t="s">
        <v>18</v>
      </c>
      <c r="B21" s="56" t="s">
        <v>168</v>
      </c>
      <c r="C21" s="56" t="s">
        <v>32</v>
      </c>
      <c r="D21" s="36">
        <f t="shared" si="1"/>
        <v>730427.17</v>
      </c>
      <c r="E21" s="48"/>
      <c r="F21" s="47"/>
      <c r="G21" s="47"/>
      <c r="H21" s="47"/>
      <c r="I21" s="47"/>
      <c r="J21" s="47"/>
      <c r="K21" s="47"/>
      <c r="L21" s="48"/>
      <c r="M21" s="181">
        <f>66414+405926.88+258086.29</f>
        <v>730427.17</v>
      </c>
      <c r="N21" s="47"/>
      <c r="O21" s="47"/>
      <c r="P21" s="47"/>
      <c r="Q21" s="47"/>
      <c r="R21" s="47"/>
      <c r="S21" s="8">
        <f>D21/D7</f>
        <v>2.92170868E-2</v>
      </c>
    </row>
    <row r="22" spans="1:20" hidden="1" x14ac:dyDescent="0.25">
      <c r="A22" s="56" t="s">
        <v>18</v>
      </c>
      <c r="B22" s="56" t="s">
        <v>80</v>
      </c>
      <c r="C22" s="56" t="s">
        <v>36</v>
      </c>
      <c r="D22" s="36">
        <f t="shared" si="1"/>
        <v>0</v>
      </c>
      <c r="E22" s="48"/>
      <c r="F22" s="47"/>
      <c r="G22" s="47"/>
      <c r="H22" s="47"/>
      <c r="I22" s="47"/>
      <c r="J22" s="47"/>
      <c r="K22" s="47"/>
      <c r="L22" s="48"/>
      <c r="M22" s="48"/>
      <c r="N22" s="47"/>
      <c r="O22" s="47"/>
      <c r="P22" s="47"/>
      <c r="Q22" s="47"/>
      <c r="R22" s="47"/>
      <c r="S22" s="8">
        <f>D22/D7</f>
        <v>0</v>
      </c>
    </row>
    <row r="23" spans="1:20" x14ac:dyDescent="0.25">
      <c r="A23" s="2" t="s">
        <v>19</v>
      </c>
      <c r="B23" s="56" t="s">
        <v>169</v>
      </c>
      <c r="C23" s="56" t="s">
        <v>32</v>
      </c>
      <c r="D23" s="36">
        <f t="shared" si="1"/>
        <v>1475302.9600000002</v>
      </c>
      <c r="E23" s="48"/>
      <c r="F23" s="47"/>
      <c r="G23" s="47"/>
      <c r="H23" s="47"/>
      <c r="I23" s="47"/>
      <c r="J23" s="47"/>
      <c r="K23" s="47"/>
      <c r="L23" s="48"/>
      <c r="M23" s="48"/>
      <c r="N23" s="181">
        <f>244854.59+583023.04+282959.27+212943.8+64230.81+33258.36+44154.12+9878.97</f>
        <v>1475302.9600000002</v>
      </c>
      <c r="O23" s="47"/>
      <c r="P23" s="47"/>
      <c r="Q23" s="47"/>
      <c r="R23" s="47"/>
      <c r="S23" s="8">
        <f>D23/D7</f>
        <v>5.9012118400000008E-2</v>
      </c>
    </row>
    <row r="24" spans="1:20" x14ac:dyDescent="0.25">
      <c r="A24" s="2" t="s">
        <v>20</v>
      </c>
      <c r="B24" s="56" t="s">
        <v>125</v>
      </c>
      <c r="C24" s="56" t="s">
        <v>32</v>
      </c>
      <c r="D24" s="36">
        <f t="shared" si="1"/>
        <v>837100.14999999991</v>
      </c>
      <c r="E24" s="48"/>
      <c r="F24" s="47"/>
      <c r="G24" s="47"/>
      <c r="H24" s="47"/>
      <c r="I24" s="47"/>
      <c r="J24" s="47"/>
      <c r="K24" s="47"/>
      <c r="L24" s="48"/>
      <c r="M24" s="48"/>
      <c r="N24" s="48"/>
      <c r="O24" s="181">
        <f>291699.73+338653.17+206747.25</f>
        <v>837100.14999999991</v>
      </c>
      <c r="P24" s="47"/>
      <c r="Q24" s="47"/>
      <c r="R24" s="47"/>
      <c r="S24" s="8">
        <f>D24/D7</f>
        <v>3.3484005999999997E-2</v>
      </c>
    </row>
    <row r="25" spans="1:20" hidden="1" x14ac:dyDescent="0.25">
      <c r="A25" s="2" t="s">
        <v>20</v>
      </c>
      <c r="B25" s="2" t="s">
        <v>33</v>
      </c>
      <c r="C25" s="2" t="s">
        <v>35</v>
      </c>
      <c r="D25" s="36">
        <f t="shared" si="1"/>
        <v>0</v>
      </c>
      <c r="E25" s="48"/>
      <c r="F25" s="47"/>
      <c r="G25" s="47"/>
      <c r="H25" s="47"/>
      <c r="I25" s="47"/>
      <c r="J25" s="47"/>
      <c r="K25" s="47"/>
      <c r="L25" s="48"/>
      <c r="M25" s="48"/>
      <c r="N25" s="48"/>
      <c r="O25" s="48"/>
      <c r="P25" s="47"/>
      <c r="Q25" s="47"/>
      <c r="R25" s="47"/>
      <c r="S25" s="8">
        <f>D25/D21</f>
        <v>0</v>
      </c>
    </row>
    <row r="26" spans="1:20" x14ac:dyDescent="0.25">
      <c r="A26" s="2" t="s">
        <v>21</v>
      </c>
      <c r="B26" s="56" t="s">
        <v>126</v>
      </c>
      <c r="C26" s="56" t="s">
        <v>32</v>
      </c>
      <c r="D26" s="36">
        <f t="shared" si="1"/>
        <v>655160.56000000006</v>
      </c>
      <c r="E26" s="48"/>
      <c r="F26" s="47"/>
      <c r="G26" s="47"/>
      <c r="H26" s="47"/>
      <c r="I26" s="47"/>
      <c r="J26" s="47"/>
      <c r="K26" s="47"/>
      <c r="L26" s="48"/>
      <c r="M26" s="48"/>
      <c r="N26" s="48"/>
      <c r="O26" s="47"/>
      <c r="P26" s="181">
        <f>257044.32+16737.6+226231.86+92480+29094.27+33572.51</f>
        <v>655160.56000000006</v>
      </c>
      <c r="Q26" s="47"/>
      <c r="R26" s="47"/>
      <c r="S26" s="8">
        <f>D26/D7</f>
        <v>2.6206422400000002E-2</v>
      </c>
    </row>
    <row r="27" spans="1:20" x14ac:dyDescent="0.25">
      <c r="A27" s="2" t="s">
        <v>22</v>
      </c>
      <c r="B27" s="56" t="s">
        <v>127</v>
      </c>
      <c r="C27" s="56" t="s">
        <v>32</v>
      </c>
      <c r="D27" s="36">
        <f>SUM(E27:R27)</f>
        <v>141392.63999999998</v>
      </c>
      <c r="E27" s="48"/>
      <c r="F27" s="47"/>
      <c r="G27" s="47"/>
      <c r="H27" s="47"/>
      <c r="I27" s="47"/>
      <c r="J27" s="47"/>
      <c r="K27" s="47"/>
      <c r="L27" s="48"/>
      <c r="M27" s="48"/>
      <c r="N27" s="48"/>
      <c r="O27" s="47"/>
      <c r="P27" s="48"/>
      <c r="Q27" s="181">
        <f>28566.1+112826.54</f>
        <v>141392.63999999998</v>
      </c>
      <c r="R27" s="48"/>
      <c r="S27" s="8">
        <f>D27/D7</f>
        <v>5.6557055999999998E-3</v>
      </c>
      <c r="T27" s="8"/>
    </row>
    <row r="28" spans="1:20" ht="13.8" thickBot="1" x14ac:dyDescent="0.3">
      <c r="A28" s="94"/>
      <c r="B28" s="95"/>
      <c r="C28" s="102" t="s">
        <v>97</v>
      </c>
      <c r="D28" s="96">
        <f>SUM(E28:R28)</f>
        <v>3368000.25</v>
      </c>
      <c r="E28" s="97"/>
      <c r="F28" s="98"/>
      <c r="G28" s="98"/>
      <c r="H28" s="98"/>
      <c r="I28" s="98"/>
      <c r="J28" s="98"/>
      <c r="K28" s="98"/>
      <c r="L28" s="97"/>
      <c r="M28" s="97"/>
      <c r="N28" s="97"/>
      <c r="O28" s="98"/>
      <c r="P28" s="97"/>
      <c r="Q28" s="97"/>
      <c r="R28" s="97">
        <f>25000000-SUM(D13:D27)</f>
        <v>3368000.25</v>
      </c>
      <c r="S28" s="110">
        <f>D28/D7</f>
        <v>0.13472001</v>
      </c>
      <c r="T28" s="8"/>
    </row>
    <row r="29" spans="1:20" x14ac:dyDescent="0.25">
      <c r="A29" s="104" t="s">
        <v>12</v>
      </c>
      <c r="B29" s="104" t="s">
        <v>132</v>
      </c>
      <c r="C29" s="105" t="s">
        <v>133</v>
      </c>
      <c r="D29" s="106">
        <f>SUM(E29:Q29)</f>
        <v>2070668.07</v>
      </c>
      <c r="E29" s="48"/>
      <c r="F29" s="182">
        <v>2070668.07</v>
      </c>
      <c r="G29" s="47"/>
      <c r="H29" s="47"/>
      <c r="I29" s="47"/>
      <c r="J29" s="47"/>
      <c r="K29" s="47"/>
      <c r="L29" s="48"/>
      <c r="M29" s="48"/>
      <c r="N29" s="48"/>
      <c r="O29" s="47"/>
      <c r="P29" s="48"/>
      <c r="Q29" s="48"/>
      <c r="R29" s="48"/>
      <c r="S29" s="109">
        <f>D29/$D$9</f>
        <v>5.1766701750000005E-2</v>
      </c>
      <c r="T29" s="8"/>
    </row>
    <row r="30" spans="1:20" x14ac:dyDescent="0.25">
      <c r="A30" s="2"/>
      <c r="B30" s="56"/>
      <c r="C30" s="101"/>
      <c r="E30" s="48"/>
      <c r="F30" s="47"/>
      <c r="G30" s="47"/>
      <c r="H30" s="47"/>
      <c r="I30" s="47"/>
      <c r="J30" s="47"/>
      <c r="K30" s="47"/>
      <c r="L30" s="48"/>
      <c r="M30" s="48"/>
      <c r="N30" s="48"/>
      <c r="O30" s="47"/>
      <c r="P30" s="48"/>
      <c r="Q30" s="48"/>
      <c r="R30" s="48"/>
      <c r="T30" s="8"/>
    </row>
    <row r="31" spans="1:20" x14ac:dyDescent="0.25">
      <c r="A31" s="107" t="s">
        <v>11</v>
      </c>
      <c r="B31" s="107" t="s">
        <v>92</v>
      </c>
      <c r="C31" s="107" t="s">
        <v>155</v>
      </c>
      <c r="D31" s="108">
        <f>SUM(E31:Q31)</f>
        <v>0</v>
      </c>
      <c r="E31" s="48"/>
      <c r="F31" s="47"/>
      <c r="G31" s="47"/>
      <c r="H31" s="47"/>
      <c r="I31" s="47"/>
      <c r="J31" s="47"/>
      <c r="K31" s="47"/>
      <c r="L31" s="47"/>
      <c r="M31" s="47"/>
      <c r="N31" s="47"/>
      <c r="O31" s="47"/>
      <c r="P31" s="47"/>
      <c r="Q31" s="47"/>
      <c r="R31" s="47"/>
      <c r="S31" s="8">
        <f>D31/$D$9</f>
        <v>0</v>
      </c>
    </row>
    <row r="32" spans="1:20" x14ac:dyDescent="0.25">
      <c r="A32" s="107" t="s">
        <v>11</v>
      </c>
      <c r="B32" s="107" t="s">
        <v>92</v>
      </c>
      <c r="C32" s="107" t="s">
        <v>156</v>
      </c>
      <c r="D32" s="108">
        <f>SUM(E32:Q32)</f>
        <v>0</v>
      </c>
      <c r="E32" s="48"/>
      <c r="F32" s="47"/>
      <c r="G32" s="47"/>
      <c r="H32" s="47"/>
      <c r="I32" s="47"/>
      <c r="J32" s="47"/>
      <c r="K32" s="47"/>
      <c r="L32" s="47"/>
      <c r="M32" s="47"/>
      <c r="N32" s="47"/>
      <c r="O32" s="47"/>
      <c r="P32" s="47"/>
      <c r="Q32" s="47"/>
      <c r="R32" s="47"/>
      <c r="S32" s="8">
        <f>D32/$D$9</f>
        <v>0</v>
      </c>
    </row>
    <row r="33" spans="1:20" x14ac:dyDescent="0.25">
      <c r="A33" s="107" t="s">
        <v>11</v>
      </c>
      <c r="B33" s="107" t="s">
        <v>92</v>
      </c>
      <c r="C33" s="107" t="s">
        <v>157</v>
      </c>
      <c r="D33" s="108">
        <f>SUM(E33:Q33)</f>
        <v>0</v>
      </c>
      <c r="E33" s="48"/>
      <c r="F33" s="47"/>
      <c r="G33" s="47"/>
      <c r="H33" s="47"/>
      <c r="I33" s="47"/>
      <c r="J33" s="47"/>
      <c r="K33" s="47"/>
      <c r="L33" s="47"/>
      <c r="M33" s="47"/>
      <c r="N33" s="47"/>
      <c r="O33" s="47"/>
      <c r="P33" s="47"/>
      <c r="Q33" s="47"/>
      <c r="R33" s="47"/>
      <c r="S33" s="8">
        <f>D33/$D$9</f>
        <v>0</v>
      </c>
    </row>
    <row r="34" spans="1:20" x14ac:dyDescent="0.25">
      <c r="A34" s="76"/>
      <c r="B34" s="76"/>
      <c r="C34" s="76"/>
      <c r="D34" s="49"/>
      <c r="E34" s="77"/>
      <c r="F34" s="78"/>
      <c r="G34" s="78"/>
      <c r="H34" s="78"/>
      <c r="I34" s="78"/>
      <c r="J34" s="78"/>
      <c r="K34" s="78"/>
      <c r="L34" s="78"/>
      <c r="M34" s="78"/>
      <c r="N34" s="78"/>
      <c r="O34" s="78"/>
      <c r="P34" s="78"/>
      <c r="Q34" s="78"/>
      <c r="R34" s="78"/>
      <c r="S34" s="50"/>
    </row>
    <row r="35" spans="1:20" x14ac:dyDescent="0.25">
      <c r="A35" s="56" t="s">
        <v>11</v>
      </c>
      <c r="B35" s="56" t="s">
        <v>94</v>
      </c>
      <c r="C35" s="56" t="s">
        <v>34</v>
      </c>
      <c r="D35" s="36">
        <f>SUM(E35:Q35)</f>
        <v>0</v>
      </c>
      <c r="E35" s="48"/>
      <c r="F35" s="47"/>
      <c r="G35" s="47"/>
      <c r="H35" s="47"/>
      <c r="I35" s="47"/>
      <c r="J35" s="47"/>
      <c r="K35" s="47"/>
      <c r="L35" s="47"/>
      <c r="M35" s="47"/>
      <c r="N35" s="47"/>
      <c r="O35" s="47"/>
      <c r="P35" s="47"/>
      <c r="Q35" s="47"/>
      <c r="R35" s="47"/>
      <c r="S35" s="8">
        <f t="shared" ref="S35:S57" si="2">D35/$D$9</f>
        <v>0</v>
      </c>
    </row>
    <row r="36" spans="1:20" x14ac:dyDescent="0.25">
      <c r="A36" s="56" t="s">
        <v>11</v>
      </c>
      <c r="B36" s="56" t="s">
        <v>100</v>
      </c>
      <c r="C36" s="56" t="s">
        <v>101</v>
      </c>
      <c r="D36" s="36">
        <f t="shared" ref="D36:D55" si="3">SUM(E36:Q36)</f>
        <v>0</v>
      </c>
      <c r="E36" s="48"/>
      <c r="F36" s="47"/>
      <c r="G36" s="47"/>
      <c r="H36" s="47"/>
      <c r="I36" s="47"/>
      <c r="J36" s="47"/>
      <c r="K36" s="47"/>
      <c r="L36" s="47"/>
      <c r="M36" s="47"/>
      <c r="N36" s="47"/>
      <c r="O36" s="47"/>
      <c r="P36" s="47"/>
      <c r="Q36" s="47"/>
      <c r="R36" s="47"/>
      <c r="S36" s="8">
        <f t="shared" si="2"/>
        <v>0</v>
      </c>
    </row>
    <row r="37" spans="1:20" hidden="1" x14ac:dyDescent="0.25">
      <c r="A37" s="56" t="s">
        <v>11</v>
      </c>
      <c r="B37" s="56"/>
      <c r="C37" s="56"/>
      <c r="D37" s="36">
        <f t="shared" si="3"/>
        <v>0</v>
      </c>
      <c r="E37" s="48"/>
      <c r="F37" s="47"/>
      <c r="G37" s="47"/>
      <c r="H37" s="47"/>
      <c r="I37" s="47"/>
      <c r="J37" s="47"/>
      <c r="K37" s="47"/>
      <c r="L37" s="47"/>
      <c r="M37" s="47"/>
      <c r="N37" s="47"/>
      <c r="O37" s="47"/>
      <c r="P37" s="47"/>
      <c r="Q37" s="47"/>
      <c r="R37" s="47"/>
      <c r="S37" s="8">
        <f t="shared" si="2"/>
        <v>0</v>
      </c>
    </row>
    <row r="38" spans="1:20" hidden="1" x14ac:dyDescent="0.25">
      <c r="A38" s="2" t="s">
        <v>12</v>
      </c>
      <c r="B38" s="56" t="s">
        <v>39</v>
      </c>
      <c r="C38" s="2" t="s">
        <v>36</v>
      </c>
      <c r="D38" s="36">
        <f t="shared" si="3"/>
        <v>0</v>
      </c>
      <c r="E38" s="48"/>
      <c r="F38" s="48"/>
      <c r="G38" s="48"/>
      <c r="H38" s="47"/>
      <c r="I38" s="47"/>
      <c r="J38" s="47"/>
      <c r="K38" s="47"/>
      <c r="L38" s="47"/>
      <c r="M38" s="47"/>
      <c r="N38" s="47"/>
      <c r="O38" s="47"/>
      <c r="P38" s="47"/>
      <c r="Q38" s="47"/>
      <c r="R38" s="47"/>
      <c r="S38" s="8">
        <f t="shared" si="2"/>
        <v>0</v>
      </c>
    </row>
    <row r="39" spans="1:20" hidden="1" x14ac:dyDescent="0.25">
      <c r="A39" s="2" t="s">
        <v>13</v>
      </c>
      <c r="B39" s="56" t="s">
        <v>40</v>
      </c>
      <c r="C39" s="2" t="s">
        <v>36</v>
      </c>
      <c r="D39" s="36">
        <f t="shared" si="3"/>
        <v>0</v>
      </c>
      <c r="E39" s="48"/>
      <c r="F39" s="48"/>
      <c r="G39" s="48"/>
      <c r="H39" s="47"/>
      <c r="I39" s="47"/>
      <c r="J39" s="47"/>
      <c r="K39" s="47"/>
      <c r="L39" s="47"/>
      <c r="M39" s="47"/>
      <c r="N39" s="47"/>
      <c r="O39" s="47"/>
      <c r="P39" s="47"/>
      <c r="Q39" s="47"/>
      <c r="R39" s="47"/>
      <c r="S39" s="8">
        <f t="shared" si="2"/>
        <v>0</v>
      </c>
    </row>
    <row r="40" spans="1:20" x14ac:dyDescent="0.25">
      <c r="A40" s="2" t="s">
        <v>14</v>
      </c>
      <c r="B40" s="56" t="s">
        <v>54</v>
      </c>
      <c r="C40" s="56" t="s">
        <v>59</v>
      </c>
      <c r="D40" s="36">
        <f t="shared" si="3"/>
        <v>0</v>
      </c>
      <c r="E40" s="48"/>
      <c r="F40" s="48"/>
      <c r="G40" s="47"/>
      <c r="H40" s="48"/>
      <c r="I40" s="47"/>
      <c r="J40" s="47"/>
      <c r="K40" s="47"/>
      <c r="L40" s="47"/>
      <c r="M40" s="47"/>
      <c r="N40" s="47"/>
      <c r="O40" s="47"/>
      <c r="P40" s="47"/>
      <c r="Q40" s="47"/>
      <c r="R40" s="47"/>
      <c r="S40" s="8">
        <f t="shared" si="2"/>
        <v>0</v>
      </c>
    </row>
    <row r="41" spans="1:20" x14ac:dyDescent="0.25">
      <c r="A41" s="56" t="s">
        <v>14</v>
      </c>
      <c r="B41" s="56" t="s">
        <v>93</v>
      </c>
      <c r="C41" s="56" t="s">
        <v>55</v>
      </c>
      <c r="D41" s="36">
        <f>SUM(E41:Q41)</f>
        <v>0</v>
      </c>
      <c r="E41" s="48"/>
      <c r="F41" s="48"/>
      <c r="G41" s="47"/>
      <c r="H41" s="48"/>
      <c r="I41" s="47"/>
      <c r="J41" s="47"/>
      <c r="K41" s="47"/>
      <c r="L41" s="47"/>
      <c r="M41" s="47"/>
      <c r="N41" s="47"/>
      <c r="O41" s="47"/>
      <c r="P41" s="47"/>
      <c r="Q41" s="47"/>
      <c r="R41" s="47"/>
      <c r="S41" s="8">
        <f t="shared" si="2"/>
        <v>0</v>
      </c>
    </row>
    <row r="42" spans="1:20" x14ac:dyDescent="0.25">
      <c r="A42" s="56" t="s">
        <v>78</v>
      </c>
      <c r="B42" s="56" t="s">
        <v>57</v>
      </c>
      <c r="C42" s="56" t="s">
        <v>79</v>
      </c>
      <c r="D42" s="36">
        <f t="shared" si="3"/>
        <v>0</v>
      </c>
      <c r="E42" s="48"/>
      <c r="F42" s="48"/>
      <c r="G42" s="47"/>
      <c r="H42" s="48"/>
      <c r="I42" s="48"/>
      <c r="J42" s="47"/>
      <c r="K42" s="47"/>
      <c r="L42" s="47"/>
      <c r="M42" s="47"/>
      <c r="N42" s="47"/>
      <c r="O42" s="47"/>
      <c r="P42" s="47"/>
      <c r="Q42" s="47"/>
      <c r="R42" s="47"/>
      <c r="S42" s="8">
        <f t="shared" si="2"/>
        <v>0</v>
      </c>
    </row>
    <row r="43" spans="1:20" x14ac:dyDescent="0.25">
      <c r="A43" s="56" t="s">
        <v>15</v>
      </c>
      <c r="B43" s="56" t="s">
        <v>53</v>
      </c>
      <c r="C43" s="56" t="s">
        <v>61</v>
      </c>
      <c r="D43" s="36">
        <f t="shared" si="3"/>
        <v>0</v>
      </c>
      <c r="E43" s="48"/>
      <c r="F43" s="48"/>
      <c r="G43" s="47"/>
      <c r="H43" s="48"/>
      <c r="I43" s="48"/>
      <c r="J43" s="47"/>
      <c r="K43" s="47"/>
      <c r="L43" s="47"/>
      <c r="M43" s="47"/>
      <c r="N43" s="47"/>
      <c r="O43" s="47"/>
      <c r="P43" s="47"/>
      <c r="Q43" s="47"/>
      <c r="R43" s="47"/>
      <c r="S43" s="8">
        <f t="shared" si="2"/>
        <v>0</v>
      </c>
    </row>
    <row r="44" spans="1:20" hidden="1" x14ac:dyDescent="0.25">
      <c r="A44" s="56" t="s">
        <v>15</v>
      </c>
      <c r="B44" s="56" t="s">
        <v>86</v>
      </c>
      <c r="C44" s="56" t="s">
        <v>87</v>
      </c>
      <c r="D44" s="36">
        <f t="shared" si="3"/>
        <v>0</v>
      </c>
      <c r="E44" s="48"/>
      <c r="F44" s="48"/>
      <c r="G44" s="47"/>
      <c r="H44" s="48"/>
      <c r="I44" s="48"/>
      <c r="J44" s="47"/>
      <c r="K44" s="47"/>
      <c r="L44" s="47"/>
      <c r="M44" s="47"/>
      <c r="N44" s="47"/>
      <c r="O44" s="47"/>
      <c r="P44" s="47"/>
      <c r="Q44" s="47"/>
      <c r="R44" s="47"/>
      <c r="S44" s="8">
        <f t="shared" si="2"/>
        <v>0</v>
      </c>
    </row>
    <row r="45" spans="1:20" x14ac:dyDescent="0.25">
      <c r="A45" s="2" t="s">
        <v>56</v>
      </c>
      <c r="B45" s="56" t="s">
        <v>54</v>
      </c>
      <c r="C45" s="56" t="s">
        <v>60</v>
      </c>
      <c r="D45" s="36">
        <f t="shared" si="3"/>
        <v>0</v>
      </c>
      <c r="E45" s="48"/>
      <c r="F45" s="48"/>
      <c r="G45" s="47"/>
      <c r="H45" s="48"/>
      <c r="I45" s="47"/>
      <c r="J45" s="48"/>
      <c r="K45" s="48"/>
      <c r="L45" s="47"/>
      <c r="M45" s="47"/>
      <c r="N45" s="47"/>
      <c r="O45" s="47"/>
      <c r="P45" s="47"/>
      <c r="Q45" s="47"/>
      <c r="R45" s="47"/>
      <c r="S45" s="8">
        <f t="shared" si="2"/>
        <v>0</v>
      </c>
    </row>
    <row r="46" spans="1:20" x14ac:dyDescent="0.25">
      <c r="A46" s="81" t="s">
        <v>19</v>
      </c>
      <c r="B46" s="76" t="s">
        <v>84</v>
      </c>
      <c r="C46" s="76" t="s">
        <v>85</v>
      </c>
      <c r="D46" s="49">
        <f>SUM(E46:Q46)</f>
        <v>0</v>
      </c>
      <c r="E46" s="77"/>
      <c r="F46" s="78"/>
      <c r="G46" s="78"/>
      <c r="H46" s="78"/>
      <c r="I46" s="78"/>
      <c r="J46" s="78"/>
      <c r="K46" s="78"/>
      <c r="L46" s="77"/>
      <c r="M46" s="77"/>
      <c r="N46" s="77"/>
      <c r="O46" s="78"/>
      <c r="P46" s="78"/>
      <c r="Q46" s="78"/>
      <c r="R46" s="78"/>
      <c r="S46" s="50">
        <f t="shared" si="2"/>
        <v>0</v>
      </c>
      <c r="T46" s="8">
        <f>SUM(S31:S46)</f>
        <v>0</v>
      </c>
    </row>
    <row r="47" spans="1:20" x14ac:dyDescent="0.25">
      <c r="A47" s="2" t="s">
        <v>11</v>
      </c>
      <c r="B47" s="56" t="s">
        <v>46</v>
      </c>
      <c r="C47" s="2" t="s">
        <v>47</v>
      </c>
      <c r="D47" s="36">
        <f t="shared" si="3"/>
        <v>0</v>
      </c>
      <c r="S47" s="8">
        <f t="shared" si="2"/>
        <v>0</v>
      </c>
    </row>
    <row r="48" spans="1:20" x14ac:dyDescent="0.25">
      <c r="A48" s="2" t="s">
        <v>11</v>
      </c>
      <c r="B48" s="56" t="s">
        <v>108</v>
      </c>
      <c r="C48" s="2" t="s">
        <v>109</v>
      </c>
      <c r="D48" s="36">
        <f t="shared" si="3"/>
        <v>0</v>
      </c>
      <c r="S48" s="8">
        <f t="shared" si="2"/>
        <v>0</v>
      </c>
    </row>
    <row r="49" spans="1:20" x14ac:dyDescent="0.25">
      <c r="A49" s="56" t="s">
        <v>12</v>
      </c>
      <c r="B49" s="56" t="s">
        <v>48</v>
      </c>
      <c r="C49" s="56" t="s">
        <v>49</v>
      </c>
      <c r="D49" s="36">
        <f t="shared" si="3"/>
        <v>0</v>
      </c>
      <c r="S49" s="8">
        <f t="shared" si="2"/>
        <v>0</v>
      </c>
    </row>
    <row r="50" spans="1:20" x14ac:dyDescent="0.25">
      <c r="A50" s="56" t="s">
        <v>14</v>
      </c>
      <c r="B50" s="56" t="s">
        <v>104</v>
      </c>
      <c r="C50" s="56" t="s">
        <v>105</v>
      </c>
      <c r="D50" s="36">
        <f t="shared" si="3"/>
        <v>0</v>
      </c>
      <c r="S50" s="8">
        <f t="shared" si="2"/>
        <v>0</v>
      </c>
    </row>
    <row r="51" spans="1:20" x14ac:dyDescent="0.25">
      <c r="A51" s="56" t="s">
        <v>15</v>
      </c>
      <c r="B51" s="56" t="s">
        <v>41</v>
      </c>
      <c r="C51" s="56" t="s">
        <v>44</v>
      </c>
      <c r="D51" s="36">
        <f t="shared" si="3"/>
        <v>0</v>
      </c>
      <c r="S51" s="8">
        <f t="shared" si="2"/>
        <v>0</v>
      </c>
    </row>
    <row r="52" spans="1:20" x14ac:dyDescent="0.25">
      <c r="A52" s="2" t="s">
        <v>15</v>
      </c>
      <c r="B52" s="56" t="s">
        <v>58</v>
      </c>
      <c r="C52" s="56" t="s">
        <v>81</v>
      </c>
      <c r="D52" s="36">
        <f t="shared" si="3"/>
        <v>0</v>
      </c>
      <c r="S52" s="8">
        <f t="shared" si="2"/>
        <v>0</v>
      </c>
    </row>
    <row r="53" spans="1:20" x14ac:dyDescent="0.25">
      <c r="A53" s="56" t="s">
        <v>15</v>
      </c>
      <c r="B53" s="56" t="s">
        <v>95</v>
      </c>
      <c r="C53" s="56" t="s">
        <v>62</v>
      </c>
      <c r="D53" s="36">
        <f t="shared" si="3"/>
        <v>0</v>
      </c>
      <c r="S53" s="8">
        <f t="shared" si="2"/>
        <v>0</v>
      </c>
    </row>
    <row r="54" spans="1:20" x14ac:dyDescent="0.25">
      <c r="A54" s="56" t="s">
        <v>19</v>
      </c>
      <c r="B54" s="56" t="s">
        <v>110</v>
      </c>
      <c r="C54" s="56" t="s">
        <v>50</v>
      </c>
      <c r="D54" s="36">
        <f t="shared" si="3"/>
        <v>0</v>
      </c>
      <c r="S54" s="8">
        <f t="shared" si="2"/>
        <v>0</v>
      </c>
    </row>
    <row r="55" spans="1:20" x14ac:dyDescent="0.25">
      <c r="A55" s="2" t="s">
        <v>21</v>
      </c>
      <c r="B55" s="56" t="s">
        <v>107</v>
      </c>
      <c r="C55" t="s">
        <v>63</v>
      </c>
      <c r="D55" s="36">
        <f t="shared" si="3"/>
        <v>0</v>
      </c>
      <c r="P55" s="100"/>
      <c r="S55" s="8">
        <f t="shared" si="2"/>
        <v>0</v>
      </c>
    </row>
    <row r="56" spans="1:20" x14ac:dyDescent="0.25">
      <c r="A56" s="2" t="s">
        <v>21</v>
      </c>
      <c r="B56" s="56" t="s">
        <v>106</v>
      </c>
      <c r="C56" t="s">
        <v>45</v>
      </c>
      <c r="D56" s="36">
        <f>SUM(E56:R56)</f>
        <v>0</v>
      </c>
      <c r="S56" s="8">
        <f t="shared" si="2"/>
        <v>0</v>
      </c>
    </row>
    <row r="57" spans="1:20" x14ac:dyDescent="0.25">
      <c r="A57" s="56" t="s">
        <v>21</v>
      </c>
      <c r="B57" s="56" t="s">
        <v>102</v>
      </c>
      <c r="C57" s="56" t="s">
        <v>103</v>
      </c>
      <c r="D57" s="36">
        <f>SUM(E57:R57)</f>
        <v>0</v>
      </c>
      <c r="S57" s="8">
        <f t="shared" si="2"/>
        <v>0</v>
      </c>
    </row>
    <row r="58" spans="1:20" ht="13.8" thickBot="1" x14ac:dyDescent="0.3">
      <c r="A58" s="70" t="s">
        <v>56</v>
      </c>
      <c r="B58" s="70"/>
      <c r="C58" s="75" t="s">
        <v>97</v>
      </c>
      <c r="D58" s="71">
        <f>SUM(E58:R58)</f>
        <v>37929331.93</v>
      </c>
      <c r="E58" s="72"/>
      <c r="F58" s="73"/>
      <c r="G58" s="73"/>
      <c r="H58" s="73"/>
      <c r="I58" s="73"/>
      <c r="J58" s="73"/>
      <c r="K58" s="73"/>
      <c r="L58" s="72"/>
      <c r="M58" s="72"/>
      <c r="N58" s="72"/>
      <c r="O58" s="73"/>
      <c r="P58" s="72"/>
      <c r="Q58" s="72"/>
      <c r="R58" s="72">
        <f>40000000-SUM(D29:D57)</f>
        <v>37929331.93</v>
      </c>
      <c r="S58" s="74">
        <f>D58/D9</f>
        <v>0.94823329825000002</v>
      </c>
      <c r="T58" s="8"/>
    </row>
    <row r="59" spans="1:20" ht="13.8" thickTop="1" x14ac:dyDescent="0.25">
      <c r="A59" s="2" t="s">
        <v>11</v>
      </c>
      <c r="B59" s="56" t="s">
        <v>96</v>
      </c>
      <c r="C59" s="2" t="s">
        <v>42</v>
      </c>
      <c r="D59" s="36">
        <f>SUM(E59:Q59)</f>
        <v>24924434.960000001</v>
      </c>
      <c r="E59" s="181">
        <f>24456458.04+467976.92</f>
        <v>24924434.960000001</v>
      </c>
      <c r="F59" s="47"/>
      <c r="G59" s="47"/>
      <c r="H59" s="47"/>
      <c r="I59" s="47"/>
      <c r="J59" s="47"/>
      <c r="K59" s="47"/>
      <c r="L59" s="48"/>
      <c r="M59" s="48"/>
      <c r="N59" s="48"/>
      <c r="O59" s="47"/>
      <c r="P59" s="48"/>
      <c r="Q59" s="48"/>
      <c r="R59" s="48"/>
      <c r="S59" s="8">
        <f>D59/$D$11</f>
        <v>0.49710175547611635</v>
      </c>
      <c r="T59" s="8"/>
    </row>
    <row r="60" spans="1:20" x14ac:dyDescent="0.25">
      <c r="A60" s="2" t="s">
        <v>11</v>
      </c>
      <c r="B60" s="56" t="s">
        <v>129</v>
      </c>
      <c r="C60" s="2" t="s">
        <v>43</v>
      </c>
      <c r="D60" s="36">
        <f>SUM(E60:Q60)</f>
        <v>24671525.91</v>
      </c>
      <c r="E60" s="183">
        <f>15000000+4000000+5671525.91</f>
        <v>24671525.91</v>
      </c>
      <c r="S60" s="8">
        <f>D60/$D11</f>
        <v>0.49205764783907013</v>
      </c>
    </row>
    <row r="61" spans="1:20" x14ac:dyDescent="0.25">
      <c r="C61" s="101" t="s">
        <v>97</v>
      </c>
      <c r="D61" s="49">
        <f>SUM(E61:R61)</f>
        <v>543542.12999999523</v>
      </c>
      <c r="E61" s="49"/>
      <c r="F61" s="49"/>
      <c r="G61" s="49"/>
      <c r="H61" s="49"/>
      <c r="I61" s="49"/>
      <c r="J61" s="49"/>
      <c r="K61" s="49"/>
      <c r="L61" s="49"/>
      <c r="M61" s="49"/>
      <c r="N61" s="49"/>
      <c r="O61" s="49"/>
      <c r="P61" s="49"/>
      <c r="Q61" s="49"/>
      <c r="R61" s="49">
        <f>50139503-SUM(D59:D60)</f>
        <v>543542.12999999523</v>
      </c>
      <c r="S61" s="50">
        <f>D61/$D11</f>
        <v>1.0840596684813474E-2</v>
      </c>
    </row>
    <row r="62" spans="1:20" x14ac:dyDescent="0.25">
      <c r="C62" s="101"/>
      <c r="D62" s="103"/>
    </row>
    <row r="63" spans="1:20" s="8" customFormat="1" ht="13.8" thickBot="1" x14ac:dyDescent="0.3">
      <c r="B63" s="51"/>
      <c r="C63" s="52" t="s">
        <v>25</v>
      </c>
      <c r="D63" s="53"/>
      <c r="E63" s="53">
        <f>E5/D5</f>
        <v>0.50370711561956283</v>
      </c>
      <c r="F63" s="53">
        <f>F5/D5</f>
        <v>5.8128498696055679E-2</v>
      </c>
      <c r="G63" s="53">
        <f>G5/D5</f>
        <v>0</v>
      </c>
      <c r="H63" s="53">
        <f>H5/D5</f>
        <v>8.0529987175643799E-3</v>
      </c>
      <c r="I63" s="53">
        <f>I5/D5</f>
        <v>3.9125210571735744E-3</v>
      </c>
      <c r="J63" s="53">
        <f>J5/D5</f>
        <v>1.8774453108417533E-3</v>
      </c>
      <c r="K63" s="53">
        <f>K5/D5</f>
        <v>1.1935607625473249E-2</v>
      </c>
      <c r="L63" s="53">
        <f>L5/D5</f>
        <v>1.5647451248769071E-2</v>
      </c>
      <c r="M63" s="53">
        <f>M5/D5</f>
        <v>6.3438450832986491E-3</v>
      </c>
      <c r="N63" s="53">
        <f>N5/D5</f>
        <v>1.2813178114899456E-2</v>
      </c>
      <c r="O63" s="53">
        <f>O5/D5</f>
        <v>7.2703123444957021E-3</v>
      </c>
      <c r="P63" s="53">
        <f>P5/D5</f>
        <v>5.6901458051282373E-3</v>
      </c>
      <c r="Q63" s="53">
        <f>Q5/D5</f>
        <v>1.2280115539494729E-3</v>
      </c>
      <c r="R63" s="53"/>
      <c r="S63" s="53"/>
    </row>
    <row r="64" spans="1:20" s="8" customFormat="1" ht="13.8" thickTop="1" x14ac:dyDescent="0.25">
      <c r="A64" s="54"/>
      <c r="C64" s="52"/>
    </row>
  </sheetData>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9442C-708B-4B30-9C01-ECAAD735856A}">
  <dimension ref="A1:T655"/>
  <sheetViews>
    <sheetView topLeftCell="C43" workbookViewId="0">
      <selection activeCell="S76" sqref="S76:S78"/>
    </sheetView>
  </sheetViews>
  <sheetFormatPr defaultRowHeight="13.2" x14ac:dyDescent="0.25"/>
  <cols>
    <col min="2" max="2" width="28" customWidth="1"/>
    <col min="3" max="3" width="36.5546875" customWidth="1"/>
    <col min="4" max="4" width="21.44140625" style="36" customWidth="1"/>
    <col min="5" max="5" width="15.5546875" style="36" customWidth="1"/>
    <col min="6" max="6" width="12.6640625" style="36" customWidth="1"/>
    <col min="7" max="7" width="14.21875" style="36" customWidth="1"/>
    <col min="8" max="8" width="13" style="36" customWidth="1"/>
    <col min="9" max="9" width="14.33203125" style="36" customWidth="1"/>
    <col min="10" max="10" width="12.6640625" style="36" customWidth="1"/>
    <col min="11" max="11" width="13" style="36" customWidth="1"/>
    <col min="12" max="12" width="13.44140625" style="36" customWidth="1"/>
    <col min="13" max="13" width="11.33203125" style="36" customWidth="1"/>
    <col min="14" max="14" width="13.33203125" style="36" customWidth="1"/>
    <col min="15" max="15" width="12.6640625" style="36" customWidth="1"/>
    <col min="16" max="16" width="14.44140625" style="36" customWidth="1"/>
    <col min="17" max="17" width="12.6640625" style="36" customWidth="1"/>
    <col min="18" max="18" width="14.33203125" style="36" customWidth="1"/>
    <col min="19" max="19" width="12.6640625" style="8" customWidth="1"/>
    <col min="20" max="20" width="11.33203125" bestFit="1" customWidth="1"/>
  </cols>
  <sheetData>
    <row r="1" spans="1:19" x14ac:dyDescent="0.25">
      <c r="A1" s="64" t="s">
        <v>500</v>
      </c>
    </row>
    <row r="3" spans="1:19" x14ac:dyDescent="0.25">
      <c r="A3" s="37"/>
      <c r="B3" s="37"/>
      <c r="C3" s="37"/>
      <c r="D3" s="38"/>
      <c r="E3" s="38"/>
      <c r="F3" s="38"/>
      <c r="G3" s="38"/>
      <c r="H3" s="38"/>
      <c r="I3" s="38"/>
      <c r="J3" s="38"/>
      <c r="K3" s="38"/>
      <c r="L3" s="38"/>
      <c r="M3" s="38"/>
      <c r="N3" s="38"/>
      <c r="O3" s="38"/>
      <c r="P3" s="38"/>
      <c r="Q3" s="38"/>
      <c r="R3" s="91" t="s">
        <v>56</v>
      </c>
      <c r="S3" s="39" t="s">
        <v>7</v>
      </c>
    </row>
    <row r="4" spans="1:19" x14ac:dyDescent="0.25">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8" thickBot="1" x14ac:dyDescent="0.3">
      <c r="C5" s="43" t="s">
        <v>24</v>
      </c>
      <c r="D5" s="44">
        <f>D7+D9+D11</f>
        <v>115139503</v>
      </c>
      <c r="E5" s="44">
        <f t="shared" ref="E5:R5" si="0">E7+E9+E11</f>
        <v>63922413.040000007</v>
      </c>
      <c r="F5" s="44">
        <f t="shared" si="0"/>
        <v>9510879.9899999984</v>
      </c>
      <c r="G5" s="44">
        <f t="shared" si="0"/>
        <v>0</v>
      </c>
      <c r="H5" s="44">
        <f t="shared" si="0"/>
        <v>3820354.1599999992</v>
      </c>
      <c r="I5" s="44">
        <f t="shared" si="0"/>
        <v>559333.83000000007</v>
      </c>
      <c r="J5" s="44">
        <f t="shared" si="0"/>
        <v>216168.12</v>
      </c>
      <c r="K5" s="44">
        <f t="shared" si="0"/>
        <v>1374259.93</v>
      </c>
      <c r="L5" s="44">
        <f t="shared" si="0"/>
        <v>2424644.4499999997</v>
      </c>
      <c r="M5" s="44">
        <f t="shared" si="0"/>
        <v>825384.37</v>
      </c>
      <c r="N5" s="44">
        <f t="shared" si="0"/>
        <v>2021095.8100000005</v>
      </c>
      <c r="O5" s="44">
        <f t="shared" si="0"/>
        <v>1071691.1099999999</v>
      </c>
      <c r="P5" s="44">
        <f t="shared" si="0"/>
        <v>4127878.9899999998</v>
      </c>
      <c r="Q5" s="44">
        <f t="shared" si="0"/>
        <v>272160.76</v>
      </c>
      <c r="R5" s="44">
        <f t="shared" si="0"/>
        <v>24993238.43999999</v>
      </c>
      <c r="S5" s="45"/>
    </row>
    <row r="6" spans="1:19" s="43" customFormat="1" ht="13.8" thickTop="1" x14ac:dyDescent="0.25">
      <c r="D6" s="48"/>
      <c r="E6" s="48"/>
      <c r="F6" s="48"/>
      <c r="G6" s="48"/>
      <c r="H6" s="48"/>
      <c r="I6" s="48"/>
      <c r="J6" s="48"/>
      <c r="K6" s="48"/>
      <c r="L6" s="48"/>
      <c r="M6" s="48"/>
      <c r="N6" s="48"/>
      <c r="O6" s="48"/>
      <c r="P6" s="48"/>
      <c r="Q6" s="48"/>
      <c r="R6" s="48"/>
      <c r="S6" s="55"/>
    </row>
    <row r="7" spans="1:19" s="43" customFormat="1" ht="13.8" thickBot="1" x14ac:dyDescent="0.3">
      <c r="C7" s="69" t="s">
        <v>76</v>
      </c>
      <c r="D7" s="44">
        <f>SUM(E7:R7)</f>
        <v>25000000.000000004</v>
      </c>
      <c r="E7" s="44">
        <f>E13</f>
        <v>10632055.15</v>
      </c>
      <c r="F7" s="44">
        <f>F14</f>
        <v>5413423.9399999985</v>
      </c>
      <c r="G7" s="44"/>
      <c r="H7" s="44">
        <f>H15</f>
        <v>927390.77000000014</v>
      </c>
      <c r="I7" s="44">
        <f>I16</f>
        <v>492770.95999999996</v>
      </c>
      <c r="J7" s="44">
        <f>J17</f>
        <v>216168.12</v>
      </c>
      <c r="K7" s="44">
        <f>K18</f>
        <v>1374259.93</v>
      </c>
      <c r="L7" s="44">
        <f>L19</f>
        <v>1858039.76</v>
      </c>
      <c r="M7" s="44">
        <f>M21</f>
        <v>825384.37</v>
      </c>
      <c r="N7" s="44">
        <f>N23</f>
        <v>1562692.73</v>
      </c>
      <c r="O7" s="44">
        <f>O24</f>
        <v>884066.11</v>
      </c>
      <c r="P7" s="44">
        <f>P26</f>
        <v>671370.52</v>
      </c>
      <c r="Q7" s="44">
        <f>Q27</f>
        <v>142377.64000000001</v>
      </c>
      <c r="R7" s="44">
        <f>R28</f>
        <v>0</v>
      </c>
      <c r="S7" s="45">
        <f>SUM(S13:S27)</f>
        <v>0.99999999999999967</v>
      </c>
    </row>
    <row r="8" spans="1:19" s="43" customFormat="1" ht="13.8" thickTop="1" x14ac:dyDescent="0.25">
      <c r="B8" s="48"/>
      <c r="D8" s="48"/>
      <c r="E8" s="48"/>
      <c r="F8" s="48"/>
      <c r="G8" s="48"/>
      <c r="H8" s="48"/>
      <c r="I8" s="48"/>
      <c r="J8" s="48"/>
      <c r="K8" s="48"/>
      <c r="L8" s="48"/>
      <c r="M8" s="48"/>
      <c r="N8" s="48"/>
      <c r="O8" s="48"/>
      <c r="P8" s="48"/>
      <c r="Q8" s="48"/>
      <c r="R8" s="48"/>
      <c r="S8" s="55"/>
    </row>
    <row r="9" spans="1:19" s="43" customFormat="1" ht="13.8" thickBot="1" x14ac:dyDescent="0.3">
      <c r="B9" s="48"/>
      <c r="C9" s="69" t="s">
        <v>77</v>
      </c>
      <c r="D9" s="44">
        <f>SUM(E9:R9)</f>
        <v>39999999.999999993</v>
      </c>
      <c r="E9" s="44">
        <f>+E47+E63+E48+E64+E30</f>
        <v>3502078.6000000015</v>
      </c>
      <c r="F9" s="44">
        <f>F61+F31</f>
        <v>4097456.0499999993</v>
      </c>
      <c r="G9" s="44"/>
      <c r="H9" s="44">
        <f>H53+H52+H66+H32</f>
        <v>2892963.3899999992</v>
      </c>
      <c r="I9" s="44">
        <f>I54+I55+I67+I68+I69+I56+I33</f>
        <v>66562.870000000054</v>
      </c>
      <c r="J9" s="44">
        <f>J34</f>
        <v>0</v>
      </c>
      <c r="K9" s="44">
        <f>K35</f>
        <v>0</v>
      </c>
      <c r="L9" s="44">
        <f>L36</f>
        <v>566604.68999999971</v>
      </c>
      <c r="M9" s="44">
        <f>M38</f>
        <v>0</v>
      </c>
      <c r="N9" s="44">
        <f>N58+N70+N40</f>
        <v>458403.08000000042</v>
      </c>
      <c r="O9" s="44">
        <f>O41</f>
        <v>187624.99999999988</v>
      </c>
      <c r="P9" s="44">
        <f>P71+P72+P73+P43</f>
        <v>3456508.4699999997</v>
      </c>
      <c r="Q9" s="44">
        <f>Q44</f>
        <v>129783.12</v>
      </c>
      <c r="R9" s="44">
        <f>R74</f>
        <v>24642014.729999997</v>
      </c>
      <c r="S9" s="45">
        <f>SUM(S30:S74)</f>
        <v>1</v>
      </c>
    </row>
    <row r="10" spans="1:19" ht="13.8" thickTop="1" x14ac:dyDescent="0.25">
      <c r="A10" s="46"/>
      <c r="B10" s="339"/>
      <c r="C10" s="2"/>
      <c r="D10" s="47"/>
      <c r="E10" s="47"/>
      <c r="F10" s="47"/>
      <c r="G10" s="47"/>
      <c r="H10" s="47"/>
      <c r="I10" s="47"/>
      <c r="J10" s="47"/>
      <c r="K10" s="47"/>
      <c r="L10" s="47"/>
      <c r="M10" s="47"/>
      <c r="N10" s="47"/>
      <c r="O10" s="47"/>
      <c r="P10" s="47"/>
      <c r="Q10" s="47"/>
      <c r="R10" s="47"/>
    </row>
    <row r="11" spans="1:19" ht="13.8" thickBot="1" x14ac:dyDescent="0.3">
      <c r="A11" s="46"/>
      <c r="B11" s="2"/>
      <c r="C11" s="69" t="s">
        <v>88</v>
      </c>
      <c r="D11" s="44">
        <f>SUM(E11:R11)</f>
        <v>50139503</v>
      </c>
      <c r="E11" s="44">
        <f>E76+E77</f>
        <v>49788279.290000007</v>
      </c>
      <c r="F11" s="80"/>
      <c r="G11" s="80"/>
      <c r="H11" s="80"/>
      <c r="I11" s="80"/>
      <c r="J11" s="80"/>
      <c r="K11" s="80"/>
      <c r="L11" s="80"/>
      <c r="M11" s="80"/>
      <c r="N11" s="80"/>
      <c r="O11" s="80"/>
      <c r="P11" s="80"/>
      <c r="Q11" s="80"/>
      <c r="R11" s="44">
        <f>R78</f>
        <v>351223.70999999344</v>
      </c>
      <c r="S11" s="45">
        <f>S76+S77+S78</f>
        <v>1</v>
      </c>
    </row>
    <row r="12" spans="1:19" ht="13.8" thickTop="1" x14ac:dyDescent="0.25">
      <c r="A12" s="46" t="s">
        <v>466</v>
      </c>
      <c r="B12" s="2"/>
      <c r="C12" s="69"/>
      <c r="D12" s="48"/>
      <c r="E12" s="48"/>
      <c r="F12" s="47"/>
      <c r="G12" s="47"/>
      <c r="H12" s="47"/>
      <c r="I12" s="47"/>
      <c r="J12" s="47"/>
      <c r="K12" s="47"/>
      <c r="L12" s="47"/>
      <c r="M12" s="47"/>
      <c r="N12" s="47"/>
      <c r="O12" s="47"/>
      <c r="P12" s="47"/>
      <c r="Q12" s="47"/>
      <c r="R12" s="47"/>
      <c r="S12" s="55"/>
    </row>
    <row r="13" spans="1:19" x14ac:dyDescent="0.25">
      <c r="A13" s="56" t="s">
        <v>11</v>
      </c>
      <c r="B13" s="56" t="s">
        <v>167</v>
      </c>
      <c r="C13" s="56" t="s">
        <v>32</v>
      </c>
      <c r="D13" s="36">
        <f t="shared" ref="D13:D26" si="1">SUM(E13:R13)</f>
        <v>10632055.15</v>
      </c>
      <c r="E13" s="48">
        <f>B102</f>
        <v>10632055.15</v>
      </c>
      <c r="F13" s="47"/>
      <c r="G13" s="47"/>
      <c r="H13" s="47"/>
      <c r="I13" s="47"/>
      <c r="J13" s="47"/>
      <c r="K13" s="47"/>
      <c r="L13" s="47"/>
      <c r="M13" s="47"/>
      <c r="N13" s="47"/>
      <c r="O13" s="47"/>
      <c r="P13" s="47"/>
      <c r="Q13" s="47"/>
      <c r="R13" s="47"/>
      <c r="S13" s="55">
        <f>D13/$D$7</f>
        <v>0.42528220599999994</v>
      </c>
    </row>
    <row r="14" spans="1:19" x14ac:dyDescent="0.25">
      <c r="A14" s="2" t="s">
        <v>12</v>
      </c>
      <c r="B14" s="56" t="s">
        <v>121</v>
      </c>
      <c r="C14" s="56" t="s">
        <v>32</v>
      </c>
      <c r="D14" s="36">
        <f t="shared" si="1"/>
        <v>5413423.9399999985</v>
      </c>
      <c r="E14" s="48"/>
      <c r="F14" s="47">
        <f>C102</f>
        <v>5413423.9399999985</v>
      </c>
      <c r="G14" s="47"/>
      <c r="H14" s="47"/>
      <c r="I14" s="47"/>
      <c r="J14" s="47"/>
      <c r="K14" s="47"/>
      <c r="L14" s="47"/>
      <c r="M14" s="47"/>
      <c r="N14" s="47"/>
      <c r="O14" s="47"/>
      <c r="P14" s="47"/>
      <c r="Q14" s="47"/>
      <c r="R14" s="47"/>
      <c r="S14" s="55">
        <f>D14/$D$7</f>
        <v>0.21653695759999991</v>
      </c>
    </row>
    <row r="15" spans="1:19" x14ac:dyDescent="0.25">
      <c r="A15" s="2" t="s">
        <v>14</v>
      </c>
      <c r="B15" s="56" t="s">
        <v>122</v>
      </c>
      <c r="C15" s="56" t="s">
        <v>32</v>
      </c>
      <c r="D15" s="36">
        <f t="shared" si="1"/>
        <v>927390.77000000014</v>
      </c>
      <c r="E15" s="48"/>
      <c r="F15" s="47"/>
      <c r="G15" s="47"/>
      <c r="H15" s="47">
        <f>D102</f>
        <v>927390.77000000014</v>
      </c>
      <c r="I15" s="47"/>
      <c r="J15" s="47"/>
      <c r="K15" s="47"/>
      <c r="L15" s="47"/>
      <c r="M15" s="47"/>
      <c r="N15" s="47"/>
      <c r="O15" s="47"/>
      <c r="P15" s="47"/>
      <c r="Q15" s="47"/>
      <c r="R15" s="47"/>
      <c r="S15" s="55">
        <f t="shared" ref="S15:S27" si="2">D15/$D$7</f>
        <v>3.7095630800000001E-2</v>
      </c>
    </row>
    <row r="16" spans="1:19" x14ac:dyDescent="0.25">
      <c r="A16" s="2" t="s">
        <v>15</v>
      </c>
      <c r="B16" s="56" t="s">
        <v>120</v>
      </c>
      <c r="C16" s="56" t="s">
        <v>32</v>
      </c>
      <c r="D16" s="36">
        <f t="shared" si="1"/>
        <v>492770.95999999996</v>
      </c>
      <c r="E16" s="48"/>
      <c r="F16" s="47"/>
      <c r="G16" s="47"/>
      <c r="H16" s="47"/>
      <c r="I16" s="47">
        <f>E102</f>
        <v>492770.95999999996</v>
      </c>
      <c r="J16" s="47"/>
      <c r="K16" s="47"/>
      <c r="L16" s="47"/>
      <c r="M16" s="47"/>
      <c r="N16" s="47"/>
      <c r="O16" s="47"/>
      <c r="P16" s="47"/>
      <c r="Q16" s="47"/>
      <c r="R16" s="47"/>
      <c r="S16" s="55">
        <f t="shared" si="2"/>
        <v>1.9710838399999996E-2</v>
      </c>
    </row>
    <row r="17" spans="1:19" x14ac:dyDescent="0.25">
      <c r="A17" s="2" t="s">
        <v>16</v>
      </c>
      <c r="B17" s="56" t="s">
        <v>84</v>
      </c>
      <c r="C17" s="56" t="s">
        <v>32</v>
      </c>
      <c r="D17" s="36">
        <f t="shared" si="1"/>
        <v>216168.12</v>
      </c>
      <c r="E17" s="48"/>
      <c r="F17" s="47"/>
      <c r="G17" s="47"/>
      <c r="H17" s="47"/>
      <c r="I17" s="47"/>
      <c r="J17" s="47">
        <v>216168.12</v>
      </c>
      <c r="K17" s="47"/>
      <c r="L17" s="47"/>
      <c r="M17" s="47"/>
      <c r="N17" s="47"/>
      <c r="O17" s="47"/>
      <c r="P17" s="47"/>
      <c r="Q17" s="47"/>
      <c r="R17" s="47"/>
      <c r="S17" s="55">
        <f t="shared" si="2"/>
        <v>8.6467247999999983E-3</v>
      </c>
    </row>
    <row r="18" spans="1:19" x14ac:dyDescent="0.25">
      <c r="A18" s="2" t="s">
        <v>56</v>
      </c>
      <c r="B18" s="56" t="s">
        <v>54</v>
      </c>
      <c r="C18" s="56" t="s">
        <v>36</v>
      </c>
      <c r="D18" s="36">
        <f t="shared" si="1"/>
        <v>1374259.93</v>
      </c>
      <c r="E18" s="48"/>
      <c r="F18" s="47"/>
      <c r="G18" s="47"/>
      <c r="H18" s="47"/>
      <c r="I18" s="47"/>
      <c r="J18" s="47"/>
      <c r="K18" s="47">
        <v>1374259.93</v>
      </c>
      <c r="L18" s="47"/>
      <c r="M18" s="47"/>
      <c r="N18" s="47"/>
      <c r="O18" s="47"/>
      <c r="P18" s="47"/>
      <c r="Q18" s="47"/>
      <c r="R18" s="47"/>
      <c r="S18" s="55">
        <f t="shared" si="2"/>
        <v>5.4970397199999986E-2</v>
      </c>
    </row>
    <row r="19" spans="1:19" x14ac:dyDescent="0.25">
      <c r="A19" s="2" t="s">
        <v>17</v>
      </c>
      <c r="B19" s="56" t="s">
        <v>128</v>
      </c>
      <c r="C19" s="56" t="s">
        <v>32</v>
      </c>
      <c r="D19" s="36">
        <f t="shared" si="1"/>
        <v>1858039.76</v>
      </c>
      <c r="E19" s="48"/>
      <c r="F19" s="47"/>
      <c r="G19" s="47"/>
      <c r="H19" s="47"/>
      <c r="I19" s="47"/>
      <c r="J19" s="47"/>
      <c r="K19" s="47"/>
      <c r="L19" s="47">
        <v>1858039.76</v>
      </c>
      <c r="M19" s="47"/>
      <c r="N19" s="47"/>
      <c r="O19" s="47"/>
      <c r="P19" s="47"/>
      <c r="Q19" s="47"/>
      <c r="R19" s="47"/>
      <c r="S19" s="55">
        <f t="shared" si="2"/>
        <v>7.4321590399999984E-2</v>
      </c>
    </row>
    <row r="20" spans="1:19" hidden="1" x14ac:dyDescent="0.25">
      <c r="A20" s="2" t="s">
        <v>17</v>
      </c>
      <c r="B20" s="2" t="s">
        <v>37</v>
      </c>
      <c r="C20" s="2" t="s">
        <v>38</v>
      </c>
      <c r="D20" s="36">
        <f t="shared" si="1"/>
        <v>0</v>
      </c>
      <c r="E20" s="48"/>
      <c r="F20" s="47"/>
      <c r="G20" s="47"/>
      <c r="H20" s="47"/>
      <c r="I20" s="47"/>
      <c r="J20" s="47"/>
      <c r="K20" s="47"/>
      <c r="L20" s="47"/>
      <c r="M20" s="47"/>
      <c r="N20" s="47"/>
      <c r="O20" s="47"/>
      <c r="P20" s="47"/>
      <c r="Q20" s="47"/>
      <c r="R20" s="47"/>
      <c r="S20" s="55">
        <f t="shared" si="2"/>
        <v>0</v>
      </c>
    </row>
    <row r="21" spans="1:19" x14ac:dyDescent="0.25">
      <c r="A21" s="2" t="s">
        <v>18</v>
      </c>
      <c r="B21" s="56" t="s">
        <v>168</v>
      </c>
      <c r="C21" s="56" t="s">
        <v>32</v>
      </c>
      <c r="D21" s="36">
        <f t="shared" si="1"/>
        <v>825384.37</v>
      </c>
      <c r="E21" s="48"/>
      <c r="F21" s="47"/>
      <c r="G21" s="47"/>
      <c r="H21" s="47"/>
      <c r="I21" s="47"/>
      <c r="J21" s="47"/>
      <c r="K21" s="47"/>
      <c r="L21" s="47"/>
      <c r="M21" s="47">
        <v>825384.37</v>
      </c>
      <c r="N21" s="47"/>
      <c r="O21" s="47"/>
      <c r="P21" s="47"/>
      <c r="Q21" s="47"/>
      <c r="R21" s="47"/>
      <c r="S21" s="55">
        <f t="shared" si="2"/>
        <v>3.3015374799999997E-2</v>
      </c>
    </row>
    <row r="22" spans="1:19" hidden="1" x14ac:dyDescent="0.25">
      <c r="A22" s="56" t="s">
        <v>18</v>
      </c>
      <c r="B22" s="56" t="s">
        <v>80</v>
      </c>
      <c r="C22" s="56" t="s">
        <v>36</v>
      </c>
      <c r="D22" s="36">
        <f t="shared" si="1"/>
        <v>0</v>
      </c>
      <c r="E22" s="48"/>
      <c r="F22" s="47"/>
      <c r="G22" s="47"/>
      <c r="H22" s="47"/>
      <c r="I22" s="47"/>
      <c r="J22" s="47"/>
      <c r="K22" s="47"/>
      <c r="L22" s="47"/>
      <c r="M22" s="47"/>
      <c r="N22" s="47"/>
      <c r="O22" s="47"/>
      <c r="P22" s="47"/>
      <c r="Q22" s="47"/>
      <c r="R22" s="47"/>
      <c r="S22" s="55">
        <f t="shared" si="2"/>
        <v>0</v>
      </c>
    </row>
    <row r="23" spans="1:19" x14ac:dyDescent="0.25">
      <c r="A23" s="2" t="s">
        <v>19</v>
      </c>
      <c r="B23" s="56" t="s">
        <v>169</v>
      </c>
      <c r="C23" s="56" t="s">
        <v>32</v>
      </c>
      <c r="D23" s="36">
        <f t="shared" si="1"/>
        <v>1562692.73</v>
      </c>
      <c r="E23" s="48"/>
      <c r="F23" s="47"/>
      <c r="G23" s="47"/>
      <c r="H23" s="47"/>
      <c r="I23" s="47"/>
      <c r="J23" s="47"/>
      <c r="K23" s="47"/>
      <c r="L23" s="47"/>
      <c r="M23" s="47"/>
      <c r="N23" s="47">
        <v>1562692.73</v>
      </c>
      <c r="O23" s="47"/>
      <c r="P23" s="47"/>
      <c r="Q23" s="47"/>
      <c r="R23" s="47"/>
      <c r="S23" s="55">
        <f t="shared" si="2"/>
        <v>6.2507709199999983E-2</v>
      </c>
    </row>
    <row r="24" spans="1:19" x14ac:dyDescent="0.25">
      <c r="A24" s="2" t="s">
        <v>20</v>
      </c>
      <c r="B24" s="56" t="s">
        <v>125</v>
      </c>
      <c r="C24" s="56" t="s">
        <v>32</v>
      </c>
      <c r="D24" s="36">
        <f t="shared" si="1"/>
        <v>884066.11</v>
      </c>
      <c r="E24" s="48"/>
      <c r="F24" s="47"/>
      <c r="G24" s="47"/>
      <c r="H24" s="47"/>
      <c r="I24" s="47"/>
      <c r="J24" s="47"/>
      <c r="K24" s="47"/>
      <c r="L24" s="47"/>
      <c r="M24" s="47"/>
      <c r="N24" s="47"/>
      <c r="O24" s="47">
        <v>884066.11</v>
      </c>
      <c r="P24" s="47"/>
      <c r="Q24" s="47"/>
      <c r="R24" s="47"/>
      <c r="S24" s="55">
        <f t="shared" si="2"/>
        <v>3.5362644399999997E-2</v>
      </c>
    </row>
    <row r="25" spans="1:19" hidden="1" x14ac:dyDescent="0.25">
      <c r="A25" s="2" t="s">
        <v>20</v>
      </c>
      <c r="B25" s="2" t="s">
        <v>33</v>
      </c>
      <c r="C25" s="2" t="s">
        <v>35</v>
      </c>
      <c r="D25" s="36">
        <f t="shared" si="1"/>
        <v>0</v>
      </c>
      <c r="E25" s="48"/>
      <c r="F25" s="47"/>
      <c r="G25" s="47"/>
      <c r="H25" s="47"/>
      <c r="I25" s="47"/>
      <c r="J25" s="47"/>
      <c r="K25" s="47"/>
      <c r="L25" s="47"/>
      <c r="M25" s="47"/>
      <c r="N25" s="47"/>
      <c r="O25" s="47"/>
      <c r="P25" s="47"/>
      <c r="Q25" s="47"/>
      <c r="R25" s="47"/>
      <c r="S25" s="55">
        <f t="shared" si="2"/>
        <v>0</v>
      </c>
    </row>
    <row r="26" spans="1:19" x14ac:dyDescent="0.25">
      <c r="A26" s="2" t="s">
        <v>21</v>
      </c>
      <c r="B26" s="56" t="s">
        <v>126</v>
      </c>
      <c r="C26" s="56" t="s">
        <v>32</v>
      </c>
      <c r="D26" s="36">
        <f t="shared" si="1"/>
        <v>671370.52</v>
      </c>
      <c r="E26" s="48"/>
      <c r="F26" s="47"/>
      <c r="G26" s="47"/>
      <c r="H26" s="47"/>
      <c r="I26" s="47"/>
      <c r="J26" s="47"/>
      <c r="K26" s="47"/>
      <c r="L26" s="47"/>
      <c r="M26" s="47"/>
      <c r="N26" s="47"/>
      <c r="O26" s="47"/>
      <c r="P26" s="47">
        <v>671370.52</v>
      </c>
      <c r="Q26" s="47"/>
      <c r="R26" s="47"/>
      <c r="S26" s="55">
        <f t="shared" si="2"/>
        <v>2.6854820799999998E-2</v>
      </c>
    </row>
    <row r="27" spans="1:19" x14ac:dyDescent="0.25">
      <c r="A27" s="2" t="s">
        <v>22</v>
      </c>
      <c r="B27" s="56" t="s">
        <v>127</v>
      </c>
      <c r="C27" s="56" t="s">
        <v>32</v>
      </c>
      <c r="D27" s="36">
        <f>SUM(E27:R27)</f>
        <v>142377.64000000001</v>
      </c>
      <c r="E27" s="48"/>
      <c r="F27" s="47"/>
      <c r="G27" s="47"/>
      <c r="H27" s="47"/>
      <c r="I27" s="47"/>
      <c r="J27" s="47"/>
      <c r="K27" s="47"/>
      <c r="L27" s="47"/>
      <c r="M27" s="47"/>
      <c r="N27" s="47"/>
      <c r="O27" s="47"/>
      <c r="P27" s="47"/>
      <c r="Q27" s="47">
        <v>142377.64000000001</v>
      </c>
      <c r="R27" s="47"/>
      <c r="S27" s="55">
        <f t="shared" si="2"/>
        <v>5.6951056E-3</v>
      </c>
    </row>
    <row r="28" spans="1:19" ht="13.8" thickBot="1" x14ac:dyDescent="0.3">
      <c r="A28" s="94"/>
      <c r="B28" s="95"/>
      <c r="C28" s="102" t="s">
        <v>97</v>
      </c>
      <c r="D28" s="96">
        <f>SUM(E28:R28)</f>
        <v>0</v>
      </c>
      <c r="E28" s="97"/>
      <c r="F28" s="98"/>
      <c r="G28" s="98"/>
      <c r="H28" s="98"/>
      <c r="I28" s="98"/>
      <c r="J28" s="98"/>
      <c r="K28" s="98"/>
      <c r="L28" s="98"/>
      <c r="M28" s="98"/>
      <c r="N28" s="98"/>
      <c r="O28" s="98"/>
      <c r="P28" s="98"/>
      <c r="Q28" s="98"/>
      <c r="R28" s="98"/>
      <c r="S28" s="310"/>
    </row>
    <row r="29" spans="1:19" x14ac:dyDescent="0.25">
      <c r="A29" s="56" t="s">
        <v>472</v>
      </c>
      <c r="B29" s="2"/>
      <c r="C29" s="2"/>
      <c r="D29" s="47"/>
      <c r="E29" s="47"/>
      <c r="F29" s="47"/>
      <c r="G29" s="47"/>
      <c r="H29" s="47"/>
      <c r="I29" s="47"/>
      <c r="J29" s="47"/>
      <c r="K29" s="47"/>
      <c r="L29" s="47"/>
      <c r="M29" s="47"/>
      <c r="N29" s="47"/>
      <c r="O29" s="47"/>
      <c r="P29" s="47"/>
      <c r="Q29" s="47"/>
      <c r="R29" s="47"/>
    </row>
    <row r="30" spans="1:19" x14ac:dyDescent="0.25">
      <c r="A30" s="56" t="s">
        <v>11</v>
      </c>
      <c r="B30" s="56" t="s">
        <v>167</v>
      </c>
      <c r="C30" s="56" t="s">
        <v>32</v>
      </c>
      <c r="D30" s="36">
        <f t="shared" ref="D30:D43" si="3">SUM(E30:R30)</f>
        <v>1881324.8600000013</v>
      </c>
      <c r="E30" s="181">
        <f>D116+D138+D159+D189+D210+D231+D254+D273+D293+D314+D336+D357+D374+D397+D419-E13</f>
        <v>1881324.8600000013</v>
      </c>
      <c r="F30" s="47"/>
      <c r="G30" s="47"/>
      <c r="H30" s="47"/>
      <c r="I30" s="47"/>
      <c r="J30" s="47"/>
      <c r="K30" s="47"/>
      <c r="L30" s="47"/>
      <c r="M30" s="47"/>
      <c r="N30" s="47"/>
      <c r="O30" s="47"/>
      <c r="P30" s="47"/>
      <c r="Q30" s="47"/>
      <c r="R30" s="47"/>
      <c r="S30" s="8">
        <f>D30/$D$9</f>
        <v>4.7033121500000039E-2</v>
      </c>
    </row>
    <row r="31" spans="1:19" x14ac:dyDescent="0.25">
      <c r="A31" s="2" t="s">
        <v>12</v>
      </c>
      <c r="B31" s="56" t="s">
        <v>121</v>
      </c>
      <c r="C31" s="56" t="s">
        <v>32</v>
      </c>
      <c r="D31" s="36">
        <f t="shared" si="3"/>
        <v>1843672.0799999991</v>
      </c>
      <c r="E31" s="48"/>
      <c r="F31" s="181">
        <f>D117+D139+D160+D190+D211+D232+D255+D274+D294+D315+D337+D358+D375+D398+D420+D386+D409-F14</f>
        <v>1843672.0799999991</v>
      </c>
      <c r="G31" s="47"/>
      <c r="H31" s="47"/>
      <c r="I31" s="47"/>
      <c r="J31" s="47"/>
      <c r="K31" s="47"/>
      <c r="L31" s="47"/>
      <c r="M31" s="47"/>
      <c r="N31" s="47"/>
      <c r="O31" s="47"/>
      <c r="P31" s="47"/>
      <c r="Q31" s="47"/>
      <c r="R31" s="47"/>
      <c r="S31" s="8">
        <f t="shared" ref="S31:S44" si="4">D31/$D$9</f>
        <v>4.6091801999999987E-2</v>
      </c>
    </row>
    <row r="32" spans="1:19" x14ac:dyDescent="0.25">
      <c r="A32" s="2" t="s">
        <v>14</v>
      </c>
      <c r="B32" s="56" t="s">
        <v>122</v>
      </c>
      <c r="C32" s="56" t="s">
        <v>32</v>
      </c>
      <c r="D32" s="36">
        <f t="shared" si="3"/>
        <v>404957.65</v>
      </c>
      <c r="E32" s="48"/>
      <c r="F32" s="48"/>
      <c r="G32" s="47"/>
      <c r="H32" s="181">
        <f>D118+D140+D161+D191+D212+D222+D233+D245+D256+D266+D275+D295+D316+D338+D348+D359+D376+D399+D422-H15</f>
        <v>404957.65</v>
      </c>
      <c r="I32" s="47"/>
      <c r="J32" s="47"/>
      <c r="K32" s="47"/>
      <c r="L32" s="47"/>
      <c r="M32" s="47"/>
      <c r="N32" s="47"/>
      <c r="O32" s="47"/>
      <c r="P32" s="47"/>
      <c r="Q32" s="47"/>
      <c r="R32" s="47"/>
      <c r="S32" s="8">
        <f t="shared" si="4"/>
        <v>1.0123941250000002E-2</v>
      </c>
    </row>
    <row r="33" spans="1:20" x14ac:dyDescent="0.25">
      <c r="A33" s="2" t="s">
        <v>15</v>
      </c>
      <c r="B33" s="56" t="s">
        <v>120</v>
      </c>
      <c r="C33" s="56" t="s">
        <v>32</v>
      </c>
      <c r="D33" s="36">
        <f t="shared" si="3"/>
        <v>63748.300000000047</v>
      </c>
      <c r="E33" s="48"/>
      <c r="F33" s="48"/>
      <c r="G33" s="47"/>
      <c r="H33" s="48"/>
      <c r="I33" s="181">
        <f>D119+D141+D162+D192+D213+D234+D257+D276+D296+D317+D339+D360+D377+D387+D400+D423-I16</f>
        <v>63748.300000000047</v>
      </c>
      <c r="J33" s="47"/>
      <c r="K33" s="47"/>
      <c r="L33" s="47"/>
      <c r="M33" s="47"/>
      <c r="N33" s="47"/>
      <c r="O33" s="47"/>
      <c r="P33" s="47"/>
      <c r="Q33" s="47"/>
      <c r="R33" s="47"/>
      <c r="S33" s="8">
        <f t="shared" si="4"/>
        <v>1.5937075000000015E-3</v>
      </c>
    </row>
    <row r="34" spans="1:20" x14ac:dyDescent="0.25">
      <c r="A34" s="2" t="s">
        <v>16</v>
      </c>
      <c r="B34" s="56" t="s">
        <v>84</v>
      </c>
      <c r="C34" s="56" t="s">
        <v>32</v>
      </c>
      <c r="D34" s="36">
        <f t="shared" si="3"/>
        <v>0</v>
      </c>
      <c r="E34" s="48"/>
      <c r="F34" s="48"/>
      <c r="G34" s="47"/>
      <c r="H34" s="48"/>
      <c r="I34" s="47"/>
      <c r="J34" s="181">
        <f>D120+D142+D163+D193+D214+D235+D258+D277+D297+D318+D327+D340+D361+D378+D388+D401+D410+D411+D424-J17</f>
        <v>0</v>
      </c>
      <c r="K34" s="48"/>
      <c r="L34" s="47"/>
      <c r="M34" s="47"/>
      <c r="N34" s="47"/>
      <c r="O34" s="47"/>
      <c r="P34" s="47"/>
      <c r="Q34" s="47"/>
      <c r="R34" s="47"/>
      <c r="S34" s="8">
        <f t="shared" si="4"/>
        <v>0</v>
      </c>
    </row>
    <row r="35" spans="1:20" x14ac:dyDescent="0.25">
      <c r="A35" s="2" t="s">
        <v>56</v>
      </c>
      <c r="B35" s="56" t="s">
        <v>54</v>
      </c>
      <c r="C35" s="56" t="s">
        <v>36</v>
      </c>
      <c r="D35" s="36">
        <f t="shared" si="3"/>
        <v>0</v>
      </c>
      <c r="E35" s="48"/>
      <c r="F35" s="48"/>
      <c r="G35" s="47"/>
      <c r="H35" s="48"/>
      <c r="I35" s="47"/>
      <c r="J35" s="48"/>
      <c r="K35" s="181">
        <f>D128+D129+D130+D149+D150+D151+D152+D170+D223+D244+D242+D265+D284+D304+D306+D325+D347+D385+D408+D431-K18+D246</f>
        <v>0</v>
      </c>
      <c r="L35" s="47"/>
      <c r="M35" s="47"/>
      <c r="N35" s="47"/>
      <c r="O35" s="47"/>
      <c r="P35" s="47"/>
      <c r="Q35" s="47"/>
      <c r="R35" s="47"/>
      <c r="S35" s="8">
        <f t="shared" si="4"/>
        <v>0</v>
      </c>
    </row>
    <row r="36" spans="1:20" x14ac:dyDescent="0.25">
      <c r="A36" s="2" t="s">
        <v>17</v>
      </c>
      <c r="B36" s="56" t="s">
        <v>128</v>
      </c>
      <c r="C36" s="56" t="s">
        <v>32</v>
      </c>
      <c r="D36" s="36">
        <f t="shared" si="3"/>
        <v>566604.68999999971</v>
      </c>
      <c r="E36" s="48"/>
      <c r="F36" s="48"/>
      <c r="G36" s="47"/>
      <c r="H36" s="48"/>
      <c r="I36" s="47"/>
      <c r="J36" s="48"/>
      <c r="K36" s="48"/>
      <c r="L36" s="181">
        <f>D121+D143+D164+D194+D215+D236+D259+D278+D298+D319+D341+D362+D379+D402+D433+D425-L19</f>
        <v>566604.68999999971</v>
      </c>
      <c r="M36" s="47"/>
      <c r="N36" s="47"/>
      <c r="O36" s="47"/>
      <c r="P36" s="47"/>
      <c r="Q36" s="47"/>
      <c r="R36" s="47"/>
      <c r="S36" s="8">
        <f t="shared" si="4"/>
        <v>1.4165117249999996E-2</v>
      </c>
    </row>
    <row r="37" spans="1:20" hidden="1" x14ac:dyDescent="0.25">
      <c r="A37" s="2" t="s">
        <v>17</v>
      </c>
      <c r="B37" s="2" t="s">
        <v>37</v>
      </c>
      <c r="C37" s="2" t="s">
        <v>38</v>
      </c>
      <c r="D37" s="36">
        <f t="shared" si="3"/>
        <v>0</v>
      </c>
      <c r="E37" s="48"/>
      <c r="F37" s="47"/>
      <c r="G37" s="47"/>
      <c r="H37" s="47"/>
      <c r="I37" s="47"/>
      <c r="J37" s="47"/>
      <c r="K37" s="47"/>
      <c r="L37" s="48"/>
      <c r="M37" s="47"/>
      <c r="N37" s="47"/>
      <c r="O37" s="47"/>
      <c r="P37" s="47"/>
      <c r="Q37" s="47"/>
      <c r="R37" s="47"/>
      <c r="S37" s="8">
        <f t="shared" si="4"/>
        <v>0</v>
      </c>
    </row>
    <row r="38" spans="1:20" x14ac:dyDescent="0.25">
      <c r="A38" s="2" t="s">
        <v>18</v>
      </c>
      <c r="B38" s="56" t="s">
        <v>168</v>
      </c>
      <c r="C38" s="56" t="s">
        <v>32</v>
      </c>
      <c r="D38" s="36">
        <f t="shared" si="3"/>
        <v>0</v>
      </c>
      <c r="E38" s="48"/>
      <c r="F38" s="47"/>
      <c r="G38" s="47"/>
      <c r="H38" s="47"/>
      <c r="I38" s="47"/>
      <c r="J38" s="47"/>
      <c r="K38" s="47"/>
      <c r="L38" s="48"/>
      <c r="M38" s="181">
        <f>D122+D144+D165+D195+D216+D237+D260+D279+D299+D305+D320+D326+D342+D363+D380+D390+D403+D426+D434+D435-M21</f>
        <v>0</v>
      </c>
      <c r="N38" s="47"/>
      <c r="O38" s="47"/>
      <c r="P38" s="47"/>
      <c r="Q38" s="47"/>
      <c r="R38" s="47"/>
      <c r="S38" s="8">
        <f t="shared" si="4"/>
        <v>0</v>
      </c>
    </row>
    <row r="39" spans="1:20" hidden="1" x14ac:dyDescent="0.25">
      <c r="A39" s="56" t="s">
        <v>18</v>
      </c>
      <c r="B39" s="56" t="s">
        <v>80</v>
      </c>
      <c r="C39" s="56" t="s">
        <v>36</v>
      </c>
      <c r="D39" s="36">
        <f t="shared" si="3"/>
        <v>0</v>
      </c>
      <c r="E39" s="48"/>
      <c r="F39" s="47"/>
      <c r="G39" s="47"/>
      <c r="H39" s="47"/>
      <c r="I39" s="47"/>
      <c r="J39" s="47"/>
      <c r="K39" s="47"/>
      <c r="L39" s="48"/>
      <c r="M39" s="48"/>
      <c r="N39" s="47"/>
      <c r="O39" s="47"/>
      <c r="P39" s="47"/>
      <c r="Q39" s="47"/>
      <c r="R39" s="47"/>
      <c r="S39" s="8">
        <f t="shared" si="4"/>
        <v>0</v>
      </c>
    </row>
    <row r="40" spans="1:20" x14ac:dyDescent="0.25">
      <c r="A40" s="2" t="s">
        <v>19</v>
      </c>
      <c r="B40" s="56" t="s">
        <v>169</v>
      </c>
      <c r="C40" s="56" t="s">
        <v>32</v>
      </c>
      <c r="D40" s="36">
        <f t="shared" si="3"/>
        <v>85427.710000000428</v>
      </c>
      <c r="E40" s="48"/>
      <c r="F40" s="47"/>
      <c r="G40" s="47"/>
      <c r="H40" s="47"/>
      <c r="I40" s="47"/>
      <c r="J40" s="47"/>
      <c r="K40" s="47"/>
      <c r="L40" s="48"/>
      <c r="M40" s="48"/>
      <c r="N40" s="181">
        <f>D123+D145+D166+D196+D217+D238+D261+D280+D300+D321+D343+D364+D381+D404+D427+D436+D437-N23</f>
        <v>85427.710000000428</v>
      </c>
      <c r="O40" s="47"/>
      <c r="P40" s="47"/>
      <c r="Q40" s="47"/>
      <c r="R40" s="47"/>
      <c r="S40" s="8">
        <f t="shared" si="4"/>
        <v>2.1356927500000111E-3</v>
      </c>
    </row>
    <row r="41" spans="1:20" x14ac:dyDescent="0.25">
      <c r="A41" s="2" t="s">
        <v>20</v>
      </c>
      <c r="B41" s="56" t="s">
        <v>125</v>
      </c>
      <c r="C41" s="56" t="s">
        <v>32</v>
      </c>
      <c r="D41" s="36">
        <f t="shared" si="3"/>
        <v>187624.99999999988</v>
      </c>
      <c r="E41" s="48"/>
      <c r="F41" s="47"/>
      <c r="G41" s="47"/>
      <c r="H41" s="47"/>
      <c r="I41" s="47"/>
      <c r="J41" s="47"/>
      <c r="K41" s="47"/>
      <c r="L41" s="48"/>
      <c r="M41" s="48"/>
      <c r="N41" s="48"/>
      <c r="O41" s="181">
        <f>D124+D146+D167+D197+D218+D239+D262+D281+D301+D322+D344+D365+D382+D405+D428-O24</f>
        <v>187624.99999999988</v>
      </c>
      <c r="P41" s="47"/>
      <c r="Q41" s="47"/>
      <c r="R41" s="47"/>
      <c r="S41" s="8">
        <f t="shared" si="4"/>
        <v>4.6906249999999977E-3</v>
      </c>
    </row>
    <row r="42" spans="1:20" hidden="1" x14ac:dyDescent="0.25">
      <c r="A42" s="2" t="s">
        <v>20</v>
      </c>
      <c r="B42" s="2" t="s">
        <v>33</v>
      </c>
      <c r="C42" s="2" t="s">
        <v>35</v>
      </c>
      <c r="D42" s="36">
        <f t="shared" si="3"/>
        <v>0</v>
      </c>
      <c r="E42" s="48"/>
      <c r="F42" s="47"/>
      <c r="G42" s="47"/>
      <c r="H42" s="47"/>
      <c r="I42" s="47"/>
      <c r="J42" s="47"/>
      <c r="K42" s="47"/>
      <c r="L42" s="48"/>
      <c r="M42" s="48"/>
      <c r="N42" s="48"/>
      <c r="O42" s="48"/>
      <c r="P42" s="47"/>
      <c r="Q42" s="47"/>
      <c r="R42" s="47"/>
      <c r="S42" s="8">
        <f t="shared" si="4"/>
        <v>0</v>
      </c>
    </row>
    <row r="43" spans="1:20" x14ac:dyDescent="0.25">
      <c r="A43" s="2" t="s">
        <v>21</v>
      </c>
      <c r="B43" s="56" t="s">
        <v>126</v>
      </c>
      <c r="C43" s="56" t="s">
        <v>32</v>
      </c>
      <c r="D43" s="36">
        <f t="shared" si="3"/>
        <v>1282857.53</v>
      </c>
      <c r="E43" s="48"/>
      <c r="F43" s="47"/>
      <c r="G43" s="47"/>
      <c r="H43" s="47"/>
      <c r="I43" s="47"/>
      <c r="J43" s="47"/>
      <c r="K43" s="47"/>
      <c r="L43" s="48"/>
      <c r="M43" s="48"/>
      <c r="N43" s="48"/>
      <c r="O43" s="47"/>
      <c r="P43" s="181">
        <f>D125+D147+D168+D198+D219+D240+D263+D282+D302+D323+D345+D366+D383+D406+D429-P26</f>
        <v>1282857.53</v>
      </c>
      <c r="Q43" s="47"/>
      <c r="R43" s="47"/>
      <c r="S43" s="8">
        <f t="shared" si="4"/>
        <v>3.2071438250000008E-2</v>
      </c>
    </row>
    <row r="44" spans="1:20" x14ac:dyDescent="0.25">
      <c r="A44" s="2" t="s">
        <v>22</v>
      </c>
      <c r="B44" s="56" t="s">
        <v>127</v>
      </c>
      <c r="C44" s="56" t="s">
        <v>32</v>
      </c>
      <c r="D44" s="36">
        <f>SUM(E44:R44)</f>
        <v>129783.12</v>
      </c>
      <c r="E44" s="48"/>
      <c r="F44" s="47"/>
      <c r="G44" s="47"/>
      <c r="H44" s="47"/>
      <c r="I44" s="47"/>
      <c r="J44" s="47"/>
      <c r="K44" s="47"/>
      <c r="L44" s="48"/>
      <c r="M44" s="48"/>
      <c r="N44" s="48"/>
      <c r="O44" s="47"/>
      <c r="P44" s="48"/>
      <c r="Q44" s="181">
        <f>D126+D148+D169+D199+D220+D241+D264+D283+D303+D324+D346+D367+D384+D407+D430-Q27</f>
        <v>129783.12</v>
      </c>
      <c r="R44" s="48"/>
      <c r="S44" s="8">
        <f t="shared" si="4"/>
        <v>3.2445780000000006E-3</v>
      </c>
      <c r="T44" s="8"/>
    </row>
    <row r="45" spans="1:20" x14ac:dyDescent="0.25">
      <c r="A45" s="76"/>
      <c r="B45" s="76"/>
      <c r="C45" s="313"/>
      <c r="D45" s="49"/>
      <c r="E45" s="77"/>
      <c r="F45" s="78"/>
      <c r="G45" s="78"/>
      <c r="H45" s="78"/>
      <c r="I45" s="78"/>
      <c r="J45" s="78"/>
      <c r="K45" s="78"/>
      <c r="L45" s="78"/>
      <c r="M45" s="78"/>
      <c r="N45" s="78"/>
      <c r="O45" s="78"/>
      <c r="P45" s="78"/>
      <c r="Q45" s="78"/>
      <c r="R45" s="78"/>
      <c r="S45" s="50"/>
    </row>
    <row r="46" spans="1:20" x14ac:dyDescent="0.25">
      <c r="A46" s="56" t="s">
        <v>467</v>
      </c>
      <c r="B46" s="56"/>
      <c r="C46" s="56"/>
      <c r="E46" s="48"/>
      <c r="F46" s="47"/>
      <c r="G46" s="47"/>
      <c r="H46" s="47"/>
      <c r="I46" s="47"/>
      <c r="J46" s="47"/>
      <c r="K46" s="47"/>
      <c r="L46" s="47"/>
      <c r="M46" s="47"/>
      <c r="N46" s="47"/>
      <c r="O46" s="47"/>
      <c r="P46" s="47"/>
      <c r="Q46" s="47"/>
      <c r="R46" s="47"/>
    </row>
    <row r="47" spans="1:20" x14ac:dyDescent="0.25">
      <c r="A47" s="56" t="s">
        <v>11</v>
      </c>
      <c r="B47" s="56" t="s">
        <v>94</v>
      </c>
      <c r="C47" s="56" t="s">
        <v>34</v>
      </c>
      <c r="D47" s="36">
        <f>SUM(E47:Q47)</f>
        <v>1620753.74</v>
      </c>
      <c r="E47" s="48">
        <f>D114+D135+D157+D185+D289+D311+D333+D353</f>
        <v>1620753.74</v>
      </c>
      <c r="F47" s="47"/>
      <c r="G47" s="47"/>
      <c r="H47" s="47"/>
      <c r="I47" s="47"/>
      <c r="J47" s="47"/>
      <c r="K47" s="47"/>
      <c r="L47" s="47"/>
      <c r="M47" s="47"/>
      <c r="N47" s="47"/>
      <c r="O47" s="47"/>
      <c r="P47" s="47"/>
      <c r="Q47" s="47"/>
      <c r="R47" s="47"/>
      <c r="S47" s="8">
        <f t="shared" ref="S47:S73" si="5">D47/$D$9</f>
        <v>4.0518843500000006E-2</v>
      </c>
    </row>
    <row r="48" spans="1:20" x14ac:dyDescent="0.25">
      <c r="A48" s="56" t="s">
        <v>11</v>
      </c>
      <c r="B48" s="56" t="s">
        <v>100</v>
      </c>
      <c r="C48" s="56" t="s">
        <v>101</v>
      </c>
      <c r="D48" s="36">
        <f t="shared" ref="D48:D71" si="6">SUM(E48:Q48)</f>
        <v>0</v>
      </c>
      <c r="E48" s="48"/>
      <c r="F48" s="47"/>
      <c r="G48" s="47"/>
      <c r="H48" s="47"/>
      <c r="I48" s="47"/>
      <c r="J48" s="47"/>
      <c r="K48" s="47"/>
      <c r="L48" s="47"/>
      <c r="M48" s="47"/>
      <c r="N48" s="47"/>
      <c r="O48" s="47"/>
      <c r="P48" s="47"/>
      <c r="Q48" s="47"/>
      <c r="R48" s="47"/>
      <c r="S48" s="8">
        <f t="shared" si="5"/>
        <v>0</v>
      </c>
    </row>
    <row r="49" spans="1:20" hidden="1" x14ac:dyDescent="0.25">
      <c r="A49" s="56" t="s">
        <v>11</v>
      </c>
      <c r="B49" s="56"/>
      <c r="C49" s="56"/>
      <c r="D49" s="36">
        <f t="shared" si="6"/>
        <v>0</v>
      </c>
      <c r="E49" s="48"/>
      <c r="F49" s="47"/>
      <c r="G49" s="47"/>
      <c r="H49" s="47"/>
      <c r="I49" s="47"/>
      <c r="J49" s="47"/>
      <c r="K49" s="47"/>
      <c r="L49" s="47"/>
      <c r="M49" s="47"/>
      <c r="N49" s="47"/>
      <c r="O49" s="47"/>
      <c r="P49" s="47"/>
      <c r="Q49" s="47"/>
      <c r="R49" s="47"/>
      <c r="S49" s="8">
        <f t="shared" si="5"/>
        <v>0</v>
      </c>
    </row>
    <row r="50" spans="1:20" hidden="1" x14ac:dyDescent="0.25">
      <c r="A50" s="2" t="s">
        <v>12</v>
      </c>
      <c r="B50" s="56" t="s">
        <v>39</v>
      </c>
      <c r="C50" s="2" t="s">
        <v>36</v>
      </c>
      <c r="D50" s="36">
        <f t="shared" si="6"/>
        <v>0</v>
      </c>
      <c r="E50" s="48"/>
      <c r="F50" s="48"/>
      <c r="G50" s="48"/>
      <c r="H50" s="47"/>
      <c r="I50" s="47"/>
      <c r="J50" s="47"/>
      <c r="K50" s="47"/>
      <c r="L50" s="47"/>
      <c r="M50" s="47"/>
      <c r="N50" s="47"/>
      <c r="O50" s="47"/>
      <c r="P50" s="47"/>
      <c r="Q50" s="47"/>
      <c r="R50" s="47"/>
      <c r="S50" s="8">
        <f t="shared" si="5"/>
        <v>0</v>
      </c>
    </row>
    <row r="51" spans="1:20" hidden="1" x14ac:dyDescent="0.25">
      <c r="A51" s="2" t="s">
        <v>13</v>
      </c>
      <c r="B51" s="56" t="s">
        <v>40</v>
      </c>
      <c r="C51" s="2" t="s">
        <v>36</v>
      </c>
      <c r="D51" s="36">
        <f t="shared" si="6"/>
        <v>0</v>
      </c>
      <c r="E51" s="48"/>
      <c r="F51" s="48"/>
      <c r="G51" s="48"/>
      <c r="H51" s="47"/>
      <c r="I51" s="47"/>
      <c r="J51" s="47"/>
      <c r="K51" s="47"/>
      <c r="L51" s="47"/>
      <c r="M51" s="47"/>
      <c r="N51" s="47"/>
      <c r="O51" s="47"/>
      <c r="P51" s="47"/>
      <c r="Q51" s="47"/>
      <c r="R51" s="47"/>
      <c r="S51" s="8">
        <f t="shared" si="5"/>
        <v>0</v>
      </c>
    </row>
    <row r="52" spans="1:20" x14ac:dyDescent="0.25">
      <c r="A52" s="2" t="s">
        <v>14</v>
      </c>
      <c r="B52" s="56" t="s">
        <v>54</v>
      </c>
      <c r="C52" s="56" t="s">
        <v>59</v>
      </c>
      <c r="D52" s="36">
        <f t="shared" si="6"/>
        <v>802730.79</v>
      </c>
      <c r="E52" s="48"/>
      <c r="F52" s="48"/>
      <c r="G52" s="47"/>
      <c r="H52" s="48">
        <f>D204</f>
        <v>802730.79</v>
      </c>
      <c r="I52" s="47"/>
      <c r="J52" s="47"/>
      <c r="K52" s="47"/>
      <c r="L52" s="47"/>
      <c r="M52" s="47"/>
      <c r="N52" s="47"/>
      <c r="O52" s="47"/>
      <c r="P52" s="47"/>
      <c r="Q52" s="47"/>
      <c r="R52" s="47"/>
      <c r="S52" s="8">
        <f t="shared" si="5"/>
        <v>2.0068269750000006E-2</v>
      </c>
    </row>
    <row r="53" spans="1:20" x14ac:dyDescent="0.25">
      <c r="A53" s="56" t="s">
        <v>14</v>
      </c>
      <c r="B53" s="56" t="s">
        <v>93</v>
      </c>
      <c r="C53" s="56" t="s">
        <v>55</v>
      </c>
      <c r="D53" s="36">
        <f>SUM(E53:Q53)</f>
        <v>1399881.2299999997</v>
      </c>
      <c r="E53" s="48"/>
      <c r="F53" s="48"/>
      <c r="G53" s="47"/>
      <c r="H53" s="48">
        <f>D136+D186</f>
        <v>1399881.2299999997</v>
      </c>
      <c r="I53" s="47"/>
      <c r="J53" s="47"/>
      <c r="K53" s="47"/>
      <c r="L53" s="47"/>
      <c r="M53" s="47"/>
      <c r="N53" s="47"/>
      <c r="O53" s="47"/>
      <c r="P53" s="47"/>
      <c r="Q53" s="47"/>
      <c r="R53" s="47"/>
      <c r="S53" s="8">
        <f t="shared" si="5"/>
        <v>3.4997030749999998E-2</v>
      </c>
    </row>
    <row r="54" spans="1:20" x14ac:dyDescent="0.25">
      <c r="A54" s="56" t="s">
        <v>78</v>
      </c>
      <c r="B54" s="56" t="s">
        <v>57</v>
      </c>
      <c r="C54" s="56" t="s">
        <v>79</v>
      </c>
      <c r="D54" s="36">
        <f t="shared" si="6"/>
        <v>0</v>
      </c>
      <c r="E54" s="48"/>
      <c r="F54" s="48"/>
      <c r="G54" s="47"/>
      <c r="H54" s="48"/>
      <c r="I54" s="48">
        <f>D354</f>
        <v>0</v>
      </c>
      <c r="J54" s="47"/>
      <c r="K54" s="47"/>
      <c r="L54" s="47"/>
      <c r="M54" s="47"/>
      <c r="N54" s="47"/>
      <c r="O54" s="47"/>
      <c r="P54" s="47"/>
      <c r="Q54" s="47"/>
      <c r="R54" s="47"/>
      <c r="S54" s="8">
        <f t="shared" si="5"/>
        <v>0</v>
      </c>
    </row>
    <row r="55" spans="1:20" x14ac:dyDescent="0.25">
      <c r="A55" s="56" t="s">
        <v>15</v>
      </c>
      <c r="B55" s="56" t="s">
        <v>53</v>
      </c>
      <c r="C55" s="56" t="s">
        <v>61</v>
      </c>
      <c r="D55" s="36">
        <f t="shared" si="6"/>
        <v>2814.5699999999997</v>
      </c>
      <c r="E55" s="48"/>
      <c r="F55" s="48"/>
      <c r="G55" s="47"/>
      <c r="H55" s="48"/>
      <c r="I55" s="48">
        <f>D228</f>
        <v>2814.5699999999997</v>
      </c>
      <c r="J55" s="47"/>
      <c r="K55" s="47"/>
      <c r="L55" s="47"/>
      <c r="M55" s="47"/>
      <c r="N55" s="47"/>
      <c r="O55" s="47"/>
      <c r="P55" s="47"/>
      <c r="Q55" s="47"/>
      <c r="R55" s="47"/>
      <c r="S55" s="8">
        <f t="shared" si="5"/>
        <v>7.036425000000001E-5</v>
      </c>
    </row>
    <row r="56" spans="1:20" hidden="1" x14ac:dyDescent="0.25">
      <c r="A56" s="56" t="s">
        <v>15</v>
      </c>
      <c r="B56" s="56" t="s">
        <v>86</v>
      </c>
      <c r="C56" s="56" t="s">
        <v>87</v>
      </c>
      <c r="D56" s="36">
        <f t="shared" si="6"/>
        <v>0</v>
      </c>
      <c r="E56" s="48"/>
      <c r="F56" s="48"/>
      <c r="G56" s="47"/>
      <c r="H56" s="48"/>
      <c r="I56" s="48"/>
      <c r="J56" s="47"/>
      <c r="K56" s="47"/>
      <c r="L56" s="47"/>
      <c r="M56" s="47"/>
      <c r="N56" s="47"/>
      <c r="O56" s="47"/>
      <c r="P56" s="47"/>
      <c r="Q56" s="47"/>
      <c r="R56" s="47"/>
      <c r="S56" s="8">
        <f t="shared" si="5"/>
        <v>0</v>
      </c>
    </row>
    <row r="57" spans="1:20" x14ac:dyDescent="0.25">
      <c r="A57" s="2" t="s">
        <v>56</v>
      </c>
      <c r="B57" s="56" t="s">
        <v>54</v>
      </c>
      <c r="C57" s="56" t="s">
        <v>60</v>
      </c>
      <c r="D57" s="36">
        <f t="shared" si="6"/>
        <v>0</v>
      </c>
      <c r="E57" s="48"/>
      <c r="F57" s="48"/>
      <c r="G57" s="47"/>
      <c r="H57" s="48"/>
      <c r="I57" s="47"/>
      <c r="J57" s="48"/>
      <c r="K57" s="48"/>
      <c r="L57" s="47"/>
      <c r="M57" s="47"/>
      <c r="N57" s="47"/>
      <c r="O57" s="47"/>
      <c r="P57" s="47"/>
      <c r="Q57" s="47"/>
      <c r="R57" s="47"/>
      <c r="S57" s="8">
        <f t="shared" si="5"/>
        <v>0</v>
      </c>
    </row>
    <row r="58" spans="1:20" x14ac:dyDescent="0.25">
      <c r="A58" s="81" t="s">
        <v>19</v>
      </c>
      <c r="B58" s="76" t="s">
        <v>84</v>
      </c>
      <c r="C58" s="76" t="s">
        <v>85</v>
      </c>
      <c r="D58" s="49">
        <f>SUM(E58:Q58)</f>
        <v>282946.76</v>
      </c>
      <c r="E58" s="77"/>
      <c r="F58" s="78"/>
      <c r="G58" s="78"/>
      <c r="H58" s="78"/>
      <c r="I58" s="78"/>
      <c r="J58" s="78"/>
      <c r="K58" s="78"/>
      <c r="L58" s="77"/>
      <c r="M58" s="77"/>
      <c r="N58" s="77">
        <f>D187</f>
        <v>282946.76</v>
      </c>
      <c r="O58" s="78"/>
      <c r="P58" s="78"/>
      <c r="Q58" s="78"/>
      <c r="R58" s="78"/>
      <c r="S58" s="50">
        <f t="shared" si="5"/>
        <v>7.0736690000000012E-3</v>
      </c>
      <c r="T58" s="8">
        <f>SUM(S29:S58)</f>
        <v>0.26387820075000007</v>
      </c>
    </row>
    <row r="59" spans="1:20" x14ac:dyDescent="0.25">
      <c r="A59" s="2"/>
      <c r="B59" s="56"/>
      <c r="C59" s="56"/>
      <c r="E59" s="48"/>
      <c r="F59" s="47"/>
      <c r="G59" s="47"/>
      <c r="H59" s="47"/>
      <c r="I59" s="47"/>
      <c r="J59" s="47"/>
      <c r="K59" s="47"/>
      <c r="L59" s="48"/>
      <c r="M59" s="48"/>
      <c r="N59" s="48"/>
      <c r="O59" s="47"/>
      <c r="P59" s="47"/>
      <c r="Q59" s="47"/>
      <c r="R59" s="47"/>
      <c r="T59" s="8"/>
    </row>
    <row r="60" spans="1:20" x14ac:dyDescent="0.25">
      <c r="A60" s="56" t="s">
        <v>474</v>
      </c>
      <c r="B60" s="56"/>
      <c r="C60" s="311"/>
      <c r="E60" s="48"/>
      <c r="F60" s="47"/>
      <c r="G60" s="47"/>
      <c r="H60" s="47"/>
      <c r="I60" s="47"/>
      <c r="J60" s="47"/>
      <c r="K60" s="47"/>
      <c r="L60" s="48"/>
      <c r="M60" s="48"/>
      <c r="N60" s="48"/>
      <c r="O60" s="47"/>
      <c r="P60" s="48"/>
      <c r="Q60" s="48"/>
      <c r="R60" s="48"/>
      <c r="S60" s="109"/>
      <c r="T60" s="8"/>
    </row>
    <row r="61" spans="1:20" x14ac:dyDescent="0.25">
      <c r="A61" s="104" t="s">
        <v>12</v>
      </c>
      <c r="B61" s="104" t="s">
        <v>132</v>
      </c>
      <c r="C61" s="105" t="s">
        <v>133</v>
      </c>
      <c r="D61" s="106">
        <f>SUM(E61:Q61)</f>
        <v>2253783.9700000002</v>
      </c>
      <c r="E61" s="48"/>
      <c r="F61" s="47">
        <f>D179</f>
        <v>2253783.9700000002</v>
      </c>
      <c r="G61" s="47"/>
      <c r="H61" s="47"/>
      <c r="I61" s="47"/>
      <c r="J61" s="47"/>
      <c r="K61" s="47"/>
      <c r="L61" s="48"/>
      <c r="M61" s="48"/>
      <c r="N61" s="48"/>
      <c r="O61" s="47"/>
      <c r="P61" s="48"/>
      <c r="Q61" s="48"/>
      <c r="R61" s="48"/>
      <c r="S61" s="109">
        <f>D61/$D$9</f>
        <v>5.6344599250000016E-2</v>
      </c>
      <c r="T61" s="8"/>
    </row>
    <row r="62" spans="1:20" x14ac:dyDescent="0.25">
      <c r="A62" s="2"/>
      <c r="B62" s="56"/>
      <c r="C62" s="101"/>
      <c r="E62" s="48"/>
      <c r="F62" s="47"/>
      <c r="G62" s="47"/>
      <c r="H62" s="47"/>
      <c r="I62" s="47"/>
      <c r="J62" s="47"/>
      <c r="K62" s="47"/>
      <c r="L62" s="48"/>
      <c r="M62" s="48"/>
      <c r="N62" s="48"/>
      <c r="O62" s="47"/>
      <c r="P62" s="48"/>
      <c r="Q62" s="48"/>
      <c r="R62" s="48"/>
      <c r="T62" s="8"/>
    </row>
    <row r="63" spans="1:20" x14ac:dyDescent="0.25">
      <c r="A63" s="2" t="s">
        <v>11</v>
      </c>
      <c r="B63" s="56" t="s">
        <v>46</v>
      </c>
      <c r="C63" s="2" t="s">
        <v>47</v>
      </c>
      <c r="D63" s="36">
        <f t="shared" si="6"/>
        <v>0</v>
      </c>
      <c r="S63" s="8">
        <f t="shared" si="5"/>
        <v>0</v>
      </c>
    </row>
    <row r="64" spans="1:20" x14ac:dyDescent="0.25">
      <c r="A64" s="2" t="s">
        <v>11</v>
      </c>
      <c r="B64" s="56" t="s">
        <v>108</v>
      </c>
      <c r="C64" s="2" t="s">
        <v>109</v>
      </c>
      <c r="D64" s="36">
        <f t="shared" si="6"/>
        <v>0</v>
      </c>
      <c r="S64" s="8">
        <f t="shared" si="5"/>
        <v>0</v>
      </c>
    </row>
    <row r="65" spans="1:20" x14ac:dyDescent="0.25">
      <c r="A65" s="56" t="s">
        <v>12</v>
      </c>
      <c r="B65" s="56" t="s">
        <v>492</v>
      </c>
      <c r="C65" s="56" t="s">
        <v>49</v>
      </c>
      <c r="D65" s="36">
        <f t="shared" si="6"/>
        <v>0</v>
      </c>
      <c r="F65" s="36">
        <f>D463</f>
        <v>0</v>
      </c>
      <c r="S65" s="8">
        <f t="shared" si="5"/>
        <v>0</v>
      </c>
    </row>
    <row r="66" spans="1:20" x14ac:dyDescent="0.25">
      <c r="A66" s="56" t="s">
        <v>14</v>
      </c>
      <c r="B66" s="56" t="s">
        <v>104</v>
      </c>
      <c r="C66" s="56" t="s">
        <v>105</v>
      </c>
      <c r="D66" s="36">
        <f t="shared" si="6"/>
        <v>285393.71999999997</v>
      </c>
      <c r="H66" s="36">
        <f>D457</f>
        <v>285393.71999999997</v>
      </c>
      <c r="S66" s="8">
        <f t="shared" si="5"/>
        <v>7.134843000000001E-3</v>
      </c>
    </row>
    <row r="67" spans="1:20" x14ac:dyDescent="0.25">
      <c r="A67" s="56" t="s">
        <v>15</v>
      </c>
      <c r="B67" s="56" t="s">
        <v>41</v>
      </c>
      <c r="C67" s="56" t="s">
        <v>44</v>
      </c>
      <c r="D67" s="36">
        <f t="shared" si="6"/>
        <v>0</v>
      </c>
      <c r="S67" s="8">
        <f t="shared" si="5"/>
        <v>0</v>
      </c>
    </row>
    <row r="68" spans="1:20" x14ac:dyDescent="0.25">
      <c r="A68" s="2" t="s">
        <v>15</v>
      </c>
      <c r="B68" s="56" t="s">
        <v>58</v>
      </c>
      <c r="C68" s="56" t="s">
        <v>81</v>
      </c>
      <c r="D68" s="36">
        <f t="shared" si="6"/>
        <v>0</v>
      </c>
      <c r="S68" s="8">
        <f t="shared" si="5"/>
        <v>0</v>
      </c>
    </row>
    <row r="69" spans="1:20" x14ac:dyDescent="0.25">
      <c r="A69" s="56" t="s">
        <v>15</v>
      </c>
      <c r="B69" s="56" t="s">
        <v>95</v>
      </c>
      <c r="C69" s="56" t="s">
        <v>62</v>
      </c>
      <c r="D69" s="36">
        <f t="shared" si="6"/>
        <v>0</v>
      </c>
      <c r="S69" s="8">
        <f t="shared" si="5"/>
        <v>0</v>
      </c>
    </row>
    <row r="70" spans="1:20" x14ac:dyDescent="0.25">
      <c r="A70" s="56" t="s">
        <v>19</v>
      </c>
      <c r="B70" s="56" t="s">
        <v>471</v>
      </c>
      <c r="C70" s="56" t="s">
        <v>50</v>
      </c>
      <c r="D70" s="36">
        <f t="shared" si="6"/>
        <v>90028.61</v>
      </c>
      <c r="N70" s="36">
        <f>D496</f>
        <v>90028.61</v>
      </c>
      <c r="S70" s="8">
        <f t="shared" si="5"/>
        <v>2.2507152500000002E-3</v>
      </c>
    </row>
    <row r="71" spans="1:20" x14ac:dyDescent="0.25">
      <c r="A71" s="2" t="s">
        <v>21</v>
      </c>
      <c r="B71" s="56" t="s">
        <v>107</v>
      </c>
      <c r="C71" s="123" t="s">
        <v>468</v>
      </c>
      <c r="D71" s="36">
        <f t="shared" si="6"/>
        <v>1885465.8499999999</v>
      </c>
      <c r="P71" s="100">
        <f>D498+D465+D480</f>
        <v>1885465.8499999999</v>
      </c>
      <c r="S71" s="8">
        <f t="shared" si="5"/>
        <v>4.7136646250000004E-2</v>
      </c>
    </row>
    <row r="72" spans="1:20" x14ac:dyDescent="0.25">
      <c r="A72" s="2" t="s">
        <v>21</v>
      </c>
      <c r="B72" s="56" t="s">
        <v>106</v>
      </c>
      <c r="C72" s="123" t="s">
        <v>469</v>
      </c>
      <c r="D72" s="36">
        <f>SUM(E72:R72)</f>
        <v>288185.09000000003</v>
      </c>
      <c r="P72" s="36">
        <f>D458</f>
        <v>288185.09000000003</v>
      </c>
      <c r="S72" s="8">
        <f t="shared" si="5"/>
        <v>7.2046272500000024E-3</v>
      </c>
    </row>
    <row r="73" spans="1:20" x14ac:dyDescent="0.25">
      <c r="A73" s="56" t="s">
        <v>21</v>
      </c>
      <c r="B73" s="56" t="s">
        <v>102</v>
      </c>
      <c r="C73" s="56" t="s">
        <v>470</v>
      </c>
      <c r="D73" s="36">
        <f>SUM(E73:R73)</f>
        <v>0</v>
      </c>
      <c r="P73" s="36">
        <f>D518+D526+D534</f>
        <v>0</v>
      </c>
      <c r="S73" s="8">
        <f t="shared" si="5"/>
        <v>0</v>
      </c>
    </row>
    <row r="74" spans="1:20" ht="13.8" thickBot="1" x14ac:dyDescent="0.3">
      <c r="A74" s="70" t="s">
        <v>56</v>
      </c>
      <c r="B74" s="70"/>
      <c r="C74" s="75" t="s">
        <v>97</v>
      </c>
      <c r="D74" s="71">
        <f>SUM(E74:R74)</f>
        <v>24642014.729999997</v>
      </c>
      <c r="E74" s="72"/>
      <c r="F74" s="73"/>
      <c r="G74" s="73"/>
      <c r="H74" s="73"/>
      <c r="I74" s="73"/>
      <c r="J74" s="73"/>
      <c r="K74" s="73"/>
      <c r="L74" s="72"/>
      <c r="M74" s="72"/>
      <c r="N74" s="72"/>
      <c r="O74" s="73"/>
      <c r="P74" s="72"/>
      <c r="Q74" s="72"/>
      <c r="R74" s="72">
        <f>40000000-SUM(D30:D73)</f>
        <v>24642014.729999997</v>
      </c>
      <c r="S74" s="74">
        <f>D74/D9</f>
        <v>0.61605036825000004</v>
      </c>
      <c r="T74" s="8"/>
    </row>
    <row r="75" spans="1:20" ht="13.8" thickTop="1" x14ac:dyDescent="0.25">
      <c r="A75" s="56" t="s">
        <v>473</v>
      </c>
      <c r="B75" s="56"/>
      <c r="C75" s="101"/>
      <c r="E75" s="48"/>
      <c r="F75" s="47"/>
      <c r="G75" s="47"/>
      <c r="H75" s="47"/>
      <c r="I75" s="47"/>
      <c r="J75" s="47"/>
      <c r="K75" s="47"/>
      <c r="L75" s="48"/>
      <c r="M75" s="48"/>
      <c r="N75" s="48"/>
      <c r="O75" s="47"/>
      <c r="P75" s="48"/>
      <c r="Q75" s="48"/>
      <c r="R75" s="48"/>
      <c r="T75" s="8"/>
    </row>
    <row r="76" spans="1:20" x14ac:dyDescent="0.25">
      <c r="A76" s="2" t="s">
        <v>11</v>
      </c>
      <c r="B76" s="56" t="s">
        <v>96</v>
      </c>
      <c r="C76" s="2" t="s">
        <v>42</v>
      </c>
      <c r="D76" s="36">
        <f>SUM(E76:Q76)</f>
        <v>25116753.38000001</v>
      </c>
      <c r="E76" s="181">
        <f>D477+D491+D470</f>
        <v>25116753.38000001</v>
      </c>
      <c r="F76" s="47"/>
      <c r="G76" s="47"/>
      <c r="H76" s="47"/>
      <c r="I76" s="47"/>
      <c r="J76" s="47"/>
      <c r="K76" s="47"/>
      <c r="L76" s="48"/>
      <c r="M76" s="48"/>
      <c r="N76" s="48"/>
      <c r="O76" s="47"/>
      <c r="P76" s="48"/>
      <c r="Q76" s="48"/>
      <c r="R76" s="48"/>
      <c r="S76" s="8">
        <f>D76/$D$11</f>
        <v>0.50093742213599546</v>
      </c>
      <c r="T76" s="8"/>
    </row>
    <row r="77" spans="1:20" x14ac:dyDescent="0.25">
      <c r="A77" s="2" t="s">
        <v>11</v>
      </c>
      <c r="B77" s="56" t="s">
        <v>96</v>
      </c>
      <c r="C77" s="2" t="s">
        <v>43</v>
      </c>
      <c r="D77" s="36">
        <f>SUM(E77:Q77)</f>
        <v>24671525.91</v>
      </c>
      <c r="E77" s="183">
        <f>D492+D476+D471</f>
        <v>24671525.91</v>
      </c>
      <c r="S77" s="8">
        <f>D77/$D11</f>
        <v>0.49205764783907013</v>
      </c>
    </row>
    <row r="78" spans="1:20" x14ac:dyDescent="0.25">
      <c r="C78" s="101" t="s">
        <v>97</v>
      </c>
      <c r="D78" s="49">
        <f>SUM(E78:R78)</f>
        <v>351223.70999999344</v>
      </c>
      <c r="E78" s="49"/>
      <c r="F78" s="49"/>
      <c r="G78" s="49"/>
      <c r="H78" s="49"/>
      <c r="I78" s="49"/>
      <c r="J78" s="49"/>
      <c r="K78" s="49"/>
      <c r="L78" s="49"/>
      <c r="M78" s="49"/>
      <c r="N78" s="49"/>
      <c r="O78" s="49"/>
      <c r="P78" s="49"/>
      <c r="Q78" s="49"/>
      <c r="R78" s="49">
        <f>50139503-SUM(D76:D77)</f>
        <v>351223.70999999344</v>
      </c>
      <c r="S78" s="50">
        <f>D78/$D11</f>
        <v>7.0049300249345001E-3</v>
      </c>
    </row>
    <row r="79" spans="1:20" x14ac:dyDescent="0.25">
      <c r="C79" s="101"/>
      <c r="D79" s="103"/>
    </row>
    <row r="80" spans="1:20" s="8" customFormat="1" ht="13.8" thickBot="1" x14ac:dyDescent="0.3">
      <c r="B80" s="51"/>
      <c r="C80" s="52" t="s">
        <v>25</v>
      </c>
      <c r="D80" s="53"/>
      <c r="E80" s="53">
        <f>E5/D5</f>
        <v>0.55517360570854646</v>
      </c>
      <c r="F80" s="53">
        <f>F5/D5</f>
        <v>8.2603100953110756E-2</v>
      </c>
      <c r="G80" s="53">
        <f>G5/D5</f>
        <v>0</v>
      </c>
      <c r="H80" s="53">
        <f>H5/D5</f>
        <v>3.3180221040210664E-2</v>
      </c>
      <c r="I80" s="53">
        <f>I5/D5</f>
        <v>4.8578794890229817E-3</v>
      </c>
      <c r="J80" s="53">
        <f>J5/D5</f>
        <v>1.8774453108417533E-3</v>
      </c>
      <c r="K80" s="53">
        <f>K5/D5</f>
        <v>1.1935607625473249E-2</v>
      </c>
      <c r="L80" s="53">
        <f>L5/D5</f>
        <v>2.1058319576036381E-2</v>
      </c>
      <c r="M80" s="53">
        <f>M5/D5</f>
        <v>7.168559430033322E-3</v>
      </c>
      <c r="N80" s="53">
        <f>N5/D5</f>
        <v>1.755345261478157E-2</v>
      </c>
      <c r="O80" s="53">
        <f>O5/D5</f>
        <v>9.307762167429191E-3</v>
      </c>
      <c r="P80" s="53">
        <f>P5/D5</f>
        <v>3.5851110022595806E-2</v>
      </c>
      <c r="Q80" s="53">
        <f>Q5/D5</f>
        <v>2.3637479136938782E-3</v>
      </c>
      <c r="R80" s="53">
        <f>R5/D5</f>
        <v>0.2170691881482239</v>
      </c>
      <c r="S80" s="53"/>
    </row>
    <row r="81" spans="1:19" s="8" customFormat="1" ht="13.8" thickTop="1" x14ac:dyDescent="0.25">
      <c r="A81" s="54"/>
      <c r="C81" s="52"/>
    </row>
    <row r="82" spans="1:19" ht="13.8" x14ac:dyDescent="0.25">
      <c r="A82" s="126" t="s">
        <v>476</v>
      </c>
      <c r="D82"/>
      <c r="E82"/>
      <c r="F82"/>
      <c r="G82"/>
      <c r="H82"/>
      <c r="I82"/>
      <c r="J82"/>
      <c r="K82"/>
      <c r="L82"/>
      <c r="M82"/>
      <c r="N82"/>
      <c r="O82"/>
      <c r="P82"/>
      <c r="Q82"/>
      <c r="R82"/>
      <c r="S82"/>
    </row>
    <row r="83" spans="1:19" x14ac:dyDescent="0.25">
      <c r="D83"/>
      <c r="E83"/>
      <c r="F83"/>
      <c r="G83"/>
      <c r="H83"/>
      <c r="I83"/>
      <c r="J83"/>
      <c r="K83"/>
      <c r="L83"/>
      <c r="M83"/>
      <c r="N83"/>
      <c r="O83"/>
      <c r="P83"/>
      <c r="Q83"/>
      <c r="R83"/>
      <c r="S83"/>
    </row>
    <row r="84" spans="1:19" x14ac:dyDescent="0.25">
      <c r="B84" s="322" t="s">
        <v>11</v>
      </c>
      <c r="C84" s="322" t="s">
        <v>12</v>
      </c>
      <c r="D84" s="322" t="s">
        <v>14</v>
      </c>
      <c r="E84" s="322" t="s">
        <v>15</v>
      </c>
      <c r="F84" s="322" t="s">
        <v>16</v>
      </c>
      <c r="G84" s="322" t="s">
        <v>17</v>
      </c>
      <c r="H84" s="322" t="s">
        <v>18</v>
      </c>
      <c r="I84" s="322" t="s">
        <v>19</v>
      </c>
      <c r="J84" s="322" t="s">
        <v>20</v>
      </c>
      <c r="K84" s="322" t="s">
        <v>21</v>
      </c>
      <c r="L84" s="322" t="s">
        <v>22</v>
      </c>
      <c r="M84" s="322" t="s">
        <v>477</v>
      </c>
      <c r="N84" s="322" t="s">
        <v>4</v>
      </c>
      <c r="O84"/>
      <c r="P84"/>
      <c r="Q84"/>
      <c r="R84"/>
      <c r="S84"/>
    </row>
    <row r="85" spans="1:19" x14ac:dyDescent="0.25">
      <c r="B85" s="323"/>
      <c r="C85" s="323"/>
      <c r="D85" s="323"/>
      <c r="E85" s="323"/>
      <c r="F85" s="323"/>
      <c r="G85" s="323"/>
      <c r="H85" s="323"/>
      <c r="I85" s="323"/>
      <c r="J85" s="323"/>
      <c r="K85" s="323"/>
      <c r="L85" s="323"/>
      <c r="M85" s="323"/>
      <c r="N85" s="324"/>
      <c r="O85"/>
      <c r="P85"/>
      <c r="Q85"/>
      <c r="R85"/>
      <c r="S85"/>
    </row>
    <row r="86" spans="1:19" x14ac:dyDescent="0.25">
      <c r="A86" s="123" t="s">
        <v>478</v>
      </c>
      <c r="B86" s="325">
        <v>3332055.1500000004</v>
      </c>
      <c r="C86" s="325"/>
      <c r="D86" s="325"/>
      <c r="E86" s="325"/>
      <c r="F86" s="325"/>
      <c r="G86" s="325"/>
      <c r="H86" s="325"/>
      <c r="I86" s="325">
        <v>328929.98999999993</v>
      </c>
      <c r="J86" s="325"/>
      <c r="K86" s="325"/>
      <c r="L86" s="325"/>
      <c r="M86" s="325"/>
      <c r="N86" s="325"/>
      <c r="O86"/>
      <c r="P86"/>
      <c r="Q86"/>
      <c r="R86"/>
      <c r="S86"/>
    </row>
    <row r="87" spans="1:19" x14ac:dyDescent="0.25">
      <c r="A87" s="123" t="s">
        <v>479</v>
      </c>
      <c r="B87" s="325">
        <v>7300000</v>
      </c>
      <c r="C87" s="326">
        <v>973244.32999999984</v>
      </c>
      <c r="D87" s="325">
        <v>21886.49</v>
      </c>
      <c r="E87" s="325">
        <v>203041.7</v>
      </c>
      <c r="F87" s="325">
        <v>216168.12</v>
      </c>
      <c r="G87" s="325">
        <v>1500479.34</v>
      </c>
      <c r="H87" s="325">
        <v>405926.88</v>
      </c>
      <c r="I87" s="325">
        <f>583522.84+2814.57</f>
        <v>586337.40999999992</v>
      </c>
      <c r="J87" s="325">
        <v>338665.69</v>
      </c>
      <c r="K87" s="325">
        <v>273254.27999999997</v>
      </c>
      <c r="L87" s="325"/>
      <c r="M87" s="325"/>
      <c r="N87" s="325"/>
      <c r="O87"/>
      <c r="P87"/>
      <c r="Q87"/>
      <c r="R87"/>
      <c r="S87"/>
    </row>
    <row r="88" spans="1:19" x14ac:dyDescent="0.25">
      <c r="A88" s="123" t="s">
        <v>480</v>
      </c>
      <c r="B88" s="325"/>
      <c r="C88" s="326">
        <v>365771.9</v>
      </c>
      <c r="D88" s="325">
        <v>424374.56</v>
      </c>
      <c r="E88" s="325"/>
      <c r="F88" s="325"/>
      <c r="G88" s="325">
        <v>2221.42</v>
      </c>
      <c r="H88" s="325">
        <v>161371.20000000001</v>
      </c>
      <c r="I88" s="325">
        <v>282959.26999999996</v>
      </c>
      <c r="J88" s="325">
        <v>338653.17000000004</v>
      </c>
      <c r="K88" s="325">
        <v>16737.599999999999</v>
      </c>
      <c r="L88" s="325"/>
      <c r="M88" s="325"/>
      <c r="N88" s="325"/>
      <c r="O88"/>
      <c r="P88"/>
      <c r="Q88"/>
      <c r="R88"/>
      <c r="S88"/>
    </row>
    <row r="89" spans="1:19" x14ac:dyDescent="0.25">
      <c r="A89" s="123" t="s">
        <v>481</v>
      </c>
      <c r="B89" s="325"/>
      <c r="C89" s="326">
        <v>1119398.8500000001</v>
      </c>
      <c r="D89" s="325"/>
      <c r="E89" s="325">
        <v>134506.43000000002</v>
      </c>
      <c r="F89" s="325"/>
      <c r="G89" s="325"/>
      <c r="H89" s="325">
        <v>258086.28999999998</v>
      </c>
      <c r="I89" s="325">
        <v>212943.8</v>
      </c>
      <c r="J89" s="325"/>
      <c r="K89" s="325">
        <f>204970.11+21261.75</f>
        <v>226231.86</v>
      </c>
      <c r="L89" s="325">
        <v>28566.100000000002</v>
      </c>
      <c r="M89" s="325">
        <v>1374259.93</v>
      </c>
      <c r="N89" s="325"/>
      <c r="O89"/>
      <c r="P89"/>
      <c r="Q89"/>
      <c r="R89"/>
      <c r="S89"/>
    </row>
    <row r="90" spans="1:19" x14ac:dyDescent="0.25">
      <c r="A90" s="123" t="s">
        <v>482</v>
      </c>
      <c r="B90" s="325"/>
      <c r="C90" s="326">
        <v>921582.1100000001</v>
      </c>
      <c r="D90" s="325">
        <v>479656.43000000011</v>
      </c>
      <c r="E90" s="325">
        <v>155222.82999999999</v>
      </c>
      <c r="F90" s="325"/>
      <c r="G90" s="325"/>
      <c r="H90" s="325"/>
      <c r="I90" s="325">
        <v>64230.810000000005</v>
      </c>
      <c r="J90" s="325">
        <v>206747.25</v>
      </c>
      <c r="K90" s="325">
        <v>92480</v>
      </c>
      <c r="L90" s="325"/>
      <c r="M90" s="325"/>
      <c r="N90" s="325"/>
      <c r="O90"/>
      <c r="P90"/>
      <c r="Q90"/>
      <c r="R90"/>
      <c r="S90"/>
    </row>
    <row r="91" spans="1:19" x14ac:dyDescent="0.25">
      <c r="A91" s="123" t="s">
        <v>483</v>
      </c>
      <c r="B91" s="325"/>
      <c r="C91" s="326">
        <v>945312.5199999999</v>
      </c>
      <c r="D91" s="325">
        <v>1473.29</v>
      </c>
      <c r="E91" s="325"/>
      <c r="F91" s="325"/>
      <c r="G91" s="325">
        <v>281354.11</v>
      </c>
      <c r="H91" s="325"/>
      <c r="I91" s="325">
        <v>33258.36</v>
      </c>
      <c r="J91" s="325"/>
      <c r="K91" s="325">
        <v>29094.27</v>
      </c>
      <c r="L91" s="325">
        <v>113811.54000000001</v>
      </c>
      <c r="M91" s="325"/>
      <c r="N91" s="325"/>
      <c r="O91"/>
      <c r="P91"/>
      <c r="Q91"/>
      <c r="R91"/>
      <c r="S91"/>
    </row>
    <row r="92" spans="1:19" x14ac:dyDescent="0.25">
      <c r="A92" s="123" t="s">
        <v>484</v>
      </c>
      <c r="B92" s="325"/>
      <c r="C92" s="326">
        <v>789449.58</v>
      </c>
      <c r="D92" s="325"/>
      <c r="E92" s="325"/>
      <c r="F92" s="325"/>
      <c r="G92" s="325">
        <v>73984.89</v>
      </c>
      <c r="H92" s="325"/>
      <c r="I92" s="325">
        <v>44154.12</v>
      </c>
      <c r="J92" s="325"/>
      <c r="K92" s="325">
        <v>33572.51</v>
      </c>
      <c r="L92" s="325"/>
      <c r="M92" s="325"/>
      <c r="N92" s="325"/>
      <c r="O92"/>
      <c r="P92"/>
      <c r="Q92"/>
      <c r="R92"/>
      <c r="S92"/>
    </row>
    <row r="93" spans="1:19" x14ac:dyDescent="0.25">
      <c r="A93" s="123" t="s">
        <v>485</v>
      </c>
      <c r="B93" s="325"/>
      <c r="C93" s="326">
        <v>89533.01</v>
      </c>
      <c r="D93" s="325"/>
      <c r="E93" s="325"/>
      <c r="F93" s="325"/>
      <c r="G93" s="325"/>
      <c r="H93" s="325"/>
      <c r="I93" s="325">
        <v>9878.9699999999993</v>
      </c>
      <c r="J93" s="325"/>
      <c r="K93" s="325"/>
      <c r="L93" s="325"/>
      <c r="M93" s="325"/>
      <c r="N93" s="325"/>
      <c r="O93"/>
      <c r="P93"/>
      <c r="Q93"/>
      <c r="R93"/>
      <c r="S93"/>
    </row>
    <row r="94" spans="1:19" x14ac:dyDescent="0.25">
      <c r="A94" s="123" t="s">
        <v>486</v>
      </c>
      <c r="B94" s="325"/>
      <c r="C94" s="326">
        <v>16004.89</v>
      </c>
      <c r="D94" s="325"/>
      <c r="E94" s="325"/>
      <c r="F94" s="325"/>
      <c r="G94" s="325"/>
      <c r="H94" s="325"/>
      <c r="I94" s="325"/>
      <c r="J94" s="325"/>
      <c r="K94" s="325"/>
      <c r="L94" s="325"/>
      <c r="M94" s="325"/>
      <c r="N94" s="325"/>
      <c r="O94"/>
      <c r="P94"/>
      <c r="Q94"/>
      <c r="R94"/>
      <c r="S94"/>
    </row>
    <row r="95" spans="1:19" x14ac:dyDescent="0.25">
      <c r="A95" s="123" t="s">
        <v>487</v>
      </c>
      <c r="B95" s="325"/>
      <c r="C95" s="326">
        <v>65342.71</v>
      </c>
      <c r="D95" s="325"/>
      <c r="E95" s="325"/>
      <c r="F95" s="325"/>
      <c r="G95" s="325"/>
      <c r="H95" s="325"/>
      <c r="I95" s="325"/>
      <c r="J95" s="325"/>
      <c r="K95" s="325"/>
      <c r="L95" s="325"/>
      <c r="M95" s="325"/>
      <c r="N95" s="325"/>
      <c r="O95"/>
      <c r="P95"/>
      <c r="Q95"/>
      <c r="R95"/>
      <c r="S95"/>
    </row>
    <row r="96" spans="1:19" x14ac:dyDescent="0.25">
      <c r="A96" s="123" t="s">
        <v>488</v>
      </c>
      <c r="B96" s="325"/>
      <c r="C96" s="326">
        <v>87837.97</v>
      </c>
      <c r="D96" s="325"/>
      <c r="E96" s="325"/>
      <c r="F96" s="325"/>
      <c r="G96" s="325"/>
      <c r="H96" s="325"/>
      <c r="I96" s="325"/>
      <c r="J96" s="325"/>
      <c r="K96" s="325"/>
      <c r="L96" s="325"/>
      <c r="M96" s="325"/>
      <c r="N96" s="325"/>
      <c r="O96"/>
      <c r="P96"/>
      <c r="Q96"/>
      <c r="R96"/>
      <c r="S96"/>
    </row>
    <row r="97" spans="1:19" x14ac:dyDescent="0.25">
      <c r="A97" s="123" t="s">
        <v>489</v>
      </c>
      <c r="B97" s="325"/>
      <c r="C97" s="326">
        <v>11117.16</v>
      </c>
      <c r="D97" s="325"/>
      <c r="E97" s="325"/>
      <c r="F97" s="325"/>
      <c r="G97" s="325"/>
      <c r="H97" s="325"/>
      <c r="I97" s="325"/>
      <c r="J97" s="325"/>
      <c r="K97" s="325"/>
      <c r="L97" s="325"/>
      <c r="M97" s="325"/>
      <c r="N97" s="325"/>
      <c r="O97"/>
      <c r="P97"/>
      <c r="Q97"/>
      <c r="R97"/>
      <c r="S97"/>
    </row>
    <row r="98" spans="1:19" x14ac:dyDescent="0.25">
      <c r="A98" s="123" t="s">
        <v>490</v>
      </c>
      <c r="B98" s="325"/>
      <c r="C98" s="326">
        <v>14969.81</v>
      </c>
      <c r="D98" s="325"/>
      <c r="E98" s="325"/>
      <c r="F98" s="325"/>
      <c r="G98" s="325"/>
      <c r="H98" s="325"/>
      <c r="I98" s="325"/>
      <c r="J98" s="325"/>
      <c r="K98" s="325"/>
      <c r="L98" s="325"/>
      <c r="M98" s="325"/>
      <c r="N98" s="325"/>
      <c r="O98"/>
      <c r="P98"/>
      <c r="Q98"/>
      <c r="R98"/>
      <c r="S98"/>
    </row>
    <row r="99" spans="1:19" x14ac:dyDescent="0.25">
      <c r="A99" s="123" t="s">
        <v>491</v>
      </c>
      <c r="B99" s="325"/>
      <c r="C99" s="326">
        <v>13859.1</v>
      </c>
      <c r="D99" s="325"/>
      <c r="E99" s="325"/>
      <c r="F99" s="325"/>
      <c r="G99" s="325"/>
      <c r="H99" s="325"/>
      <c r="I99" s="325"/>
      <c r="J99" s="325"/>
      <c r="K99" s="325"/>
      <c r="L99" s="325"/>
      <c r="M99" s="325"/>
      <c r="N99" s="325"/>
      <c r="O99"/>
      <c r="P99"/>
      <c r="Q99"/>
      <c r="R99"/>
      <c r="S99"/>
    </row>
    <row r="100" spans="1:19" x14ac:dyDescent="0.25">
      <c r="B100" s="325"/>
      <c r="C100" s="325"/>
      <c r="D100" s="325"/>
      <c r="E100" s="325"/>
      <c r="F100" s="325"/>
      <c r="G100" s="325"/>
      <c r="H100" s="325"/>
      <c r="I100" s="325"/>
      <c r="J100" s="325"/>
      <c r="K100" s="325"/>
      <c r="L100" s="325"/>
      <c r="M100" s="325"/>
      <c r="N100" s="325"/>
      <c r="O100"/>
      <c r="P100"/>
      <c r="Q100"/>
      <c r="R100"/>
      <c r="S100"/>
    </row>
    <row r="101" spans="1:19" x14ac:dyDescent="0.25">
      <c r="B101" s="325"/>
      <c r="C101" s="325"/>
      <c r="D101" s="325"/>
      <c r="E101" s="325"/>
      <c r="F101" s="325"/>
      <c r="G101" s="325"/>
      <c r="H101" s="325"/>
      <c r="I101" s="325"/>
      <c r="J101" s="325"/>
      <c r="K101" s="325"/>
      <c r="L101" s="325"/>
      <c r="M101" s="325"/>
      <c r="N101" s="325"/>
      <c r="O101"/>
      <c r="P101"/>
      <c r="Q101"/>
      <c r="R101"/>
      <c r="S101"/>
    </row>
    <row r="102" spans="1:19" x14ac:dyDescent="0.25">
      <c r="B102" s="327">
        <f>SUM(B86:B101)</f>
        <v>10632055.15</v>
      </c>
      <c r="C102" s="327">
        <f t="shared" ref="C102:M102" si="7">SUM(C86:C101)</f>
        <v>5413423.9399999985</v>
      </c>
      <c r="D102" s="327">
        <f t="shared" si="7"/>
        <v>927390.77000000014</v>
      </c>
      <c r="E102" s="327">
        <f t="shared" si="7"/>
        <v>492770.95999999996</v>
      </c>
      <c r="F102" s="327">
        <f t="shared" si="7"/>
        <v>216168.12</v>
      </c>
      <c r="G102" s="327">
        <f t="shared" si="7"/>
        <v>1858039.76</v>
      </c>
      <c r="H102" s="327">
        <f t="shared" si="7"/>
        <v>825384.37000000011</v>
      </c>
      <c r="I102" s="327">
        <f t="shared" si="7"/>
        <v>1562692.7300000002</v>
      </c>
      <c r="J102" s="327">
        <f t="shared" si="7"/>
        <v>884066.1100000001</v>
      </c>
      <c r="K102" s="327">
        <f t="shared" si="7"/>
        <v>671370.52</v>
      </c>
      <c r="L102" s="327">
        <f t="shared" si="7"/>
        <v>142377.64000000001</v>
      </c>
      <c r="M102" s="327">
        <f t="shared" si="7"/>
        <v>1374259.93</v>
      </c>
      <c r="N102" s="327">
        <f>SUM(B102:M102)</f>
        <v>25000000.000000004</v>
      </c>
      <c r="O102"/>
      <c r="P102"/>
      <c r="Q102"/>
      <c r="R102"/>
      <c r="S102"/>
    </row>
    <row r="103" spans="1:19" x14ac:dyDescent="0.25">
      <c r="B103" s="328"/>
      <c r="C103" s="328"/>
      <c r="D103" s="328"/>
      <c r="E103" s="328"/>
      <c r="F103" s="328"/>
      <c r="G103" s="328"/>
      <c r="H103" s="328"/>
      <c r="I103" s="328"/>
      <c r="J103" s="328"/>
      <c r="K103" s="328"/>
      <c r="L103" s="328"/>
      <c r="M103" s="328"/>
      <c r="N103" s="328"/>
      <c r="O103"/>
      <c r="P103"/>
      <c r="Q103"/>
      <c r="R103"/>
      <c r="S103"/>
    </row>
    <row r="107" spans="1:19" x14ac:dyDescent="0.25">
      <c r="C107" s="184"/>
      <c r="D107" s="184"/>
      <c r="E107" s="190"/>
    </row>
    <row r="108" spans="1:19" x14ac:dyDescent="0.25">
      <c r="B108" s="184"/>
      <c r="C108" s="184"/>
      <c r="D108" s="190"/>
      <c r="E108"/>
      <c r="F108"/>
      <c r="G108"/>
      <c r="H108"/>
    </row>
    <row r="109" spans="1:19" ht="13.8" thickBot="1" x14ac:dyDescent="0.3">
      <c r="B109" s="338" t="s">
        <v>499</v>
      </c>
      <c r="C109" s="184"/>
      <c r="D109" s="186"/>
      <c r="E109"/>
      <c r="F109"/>
      <c r="G109"/>
      <c r="H109"/>
    </row>
    <row r="110" spans="1:19" x14ac:dyDescent="0.25">
      <c r="B110" s="184"/>
      <c r="C110" s="197" t="s">
        <v>173</v>
      </c>
      <c r="D110" s="200" t="s">
        <v>0</v>
      </c>
      <c r="E110"/>
      <c r="F110"/>
      <c r="G110"/>
      <c r="H110"/>
    </row>
    <row r="111" spans="1:19" ht="13.8" thickBot="1" x14ac:dyDescent="0.3">
      <c r="B111" s="184"/>
      <c r="C111" s="204"/>
      <c r="D111" s="209" t="s">
        <v>188</v>
      </c>
      <c r="E111"/>
      <c r="F111"/>
      <c r="G111"/>
      <c r="H111"/>
    </row>
    <row r="112" spans="1:19" x14ac:dyDescent="0.25">
      <c r="B112" s="184"/>
      <c r="C112" s="184"/>
      <c r="D112" s="216"/>
      <c r="E112" s="43"/>
      <c r="F112" s="43"/>
      <c r="G112" s="43"/>
      <c r="H112" s="43"/>
    </row>
    <row r="113" spans="2:8" x14ac:dyDescent="0.25">
      <c r="B113" s="219" t="s">
        <v>197</v>
      </c>
      <c r="C113" s="220"/>
      <c r="D113" s="223"/>
      <c r="E113" s="43"/>
      <c r="F113" s="43"/>
      <c r="G113" s="43"/>
      <c r="H113" s="43"/>
    </row>
    <row r="114" spans="2:8" x14ac:dyDescent="0.25">
      <c r="B114" s="184"/>
      <c r="C114" s="312" t="s">
        <v>199</v>
      </c>
      <c r="D114" s="223">
        <v>0</v>
      </c>
      <c r="E114" s="43"/>
      <c r="F114" s="43"/>
      <c r="G114" s="43"/>
      <c r="H114" s="43"/>
    </row>
    <row r="115" spans="2:8" x14ac:dyDescent="0.25">
      <c r="B115" s="184"/>
      <c r="C115" s="224" t="s">
        <v>201</v>
      </c>
      <c r="D115" s="223"/>
      <c r="E115" s="43"/>
      <c r="F115" s="43"/>
      <c r="G115" s="43"/>
      <c r="H115" s="43"/>
    </row>
    <row r="116" spans="2:8" x14ac:dyDescent="0.25">
      <c r="B116" s="184"/>
      <c r="C116" s="184" t="s">
        <v>202</v>
      </c>
      <c r="D116" s="223">
        <v>0</v>
      </c>
      <c r="E116" s="43"/>
      <c r="F116" s="43"/>
      <c r="G116" s="43"/>
      <c r="H116" s="43"/>
    </row>
    <row r="117" spans="2:8" x14ac:dyDescent="0.25">
      <c r="B117" s="184"/>
      <c r="C117" s="184" t="s">
        <v>203</v>
      </c>
      <c r="D117" s="223">
        <v>40614.199999999997</v>
      </c>
      <c r="E117"/>
      <c r="F117"/>
      <c r="G117"/>
      <c r="H117"/>
    </row>
    <row r="118" spans="2:8" x14ac:dyDescent="0.25">
      <c r="B118" s="184"/>
      <c r="C118" s="184" t="s">
        <v>204</v>
      </c>
      <c r="D118" s="223">
        <v>0</v>
      </c>
      <c r="E118"/>
      <c r="F118"/>
      <c r="G118"/>
      <c r="H118"/>
    </row>
    <row r="119" spans="2:8" x14ac:dyDescent="0.25">
      <c r="B119" s="184"/>
      <c r="C119" s="184" t="s">
        <v>205</v>
      </c>
      <c r="D119" s="223">
        <v>0</v>
      </c>
      <c r="E119"/>
      <c r="F119"/>
      <c r="G119"/>
      <c r="H119"/>
    </row>
    <row r="120" spans="2:8" x14ac:dyDescent="0.25">
      <c r="B120" s="184"/>
      <c r="C120" s="184" t="s">
        <v>206</v>
      </c>
      <c r="D120" s="223">
        <v>0</v>
      </c>
      <c r="E120"/>
      <c r="F120"/>
      <c r="G120"/>
      <c r="H120"/>
    </row>
    <row r="121" spans="2:8" x14ac:dyDescent="0.25">
      <c r="B121" s="184"/>
      <c r="C121" s="184" t="s">
        <v>207</v>
      </c>
      <c r="D121" s="223">
        <v>0</v>
      </c>
      <c r="E121"/>
      <c r="F121"/>
      <c r="G121"/>
      <c r="H121"/>
    </row>
    <row r="122" spans="2:8" x14ac:dyDescent="0.25">
      <c r="B122" s="184"/>
      <c r="C122" s="184" t="s">
        <v>208</v>
      </c>
      <c r="D122" s="223">
        <v>0</v>
      </c>
      <c r="E122"/>
      <c r="F122"/>
      <c r="G122"/>
      <c r="H122"/>
    </row>
    <row r="123" spans="2:8" x14ac:dyDescent="0.25">
      <c r="B123" s="184"/>
      <c r="C123" s="184" t="s">
        <v>209</v>
      </c>
      <c r="D123" s="223">
        <v>0</v>
      </c>
      <c r="E123"/>
      <c r="F123"/>
      <c r="G123"/>
      <c r="H123"/>
    </row>
    <row r="124" spans="2:8" x14ac:dyDescent="0.25">
      <c r="B124" s="184"/>
      <c r="C124" s="184" t="s">
        <v>210</v>
      </c>
      <c r="D124" s="223">
        <v>0</v>
      </c>
      <c r="E124"/>
      <c r="F124"/>
      <c r="G124"/>
      <c r="H124"/>
    </row>
    <row r="125" spans="2:8" x14ac:dyDescent="0.25">
      <c r="B125" s="184"/>
      <c r="C125" s="184" t="s">
        <v>211</v>
      </c>
      <c r="D125" s="223">
        <v>0</v>
      </c>
      <c r="E125"/>
      <c r="F125"/>
      <c r="G125"/>
      <c r="H125"/>
    </row>
    <row r="126" spans="2:8" x14ac:dyDescent="0.25">
      <c r="B126" s="184"/>
      <c r="C126" s="184" t="s">
        <v>212</v>
      </c>
      <c r="D126" s="223">
        <v>0</v>
      </c>
      <c r="E126"/>
      <c r="F126"/>
      <c r="G126"/>
      <c r="H126"/>
    </row>
    <row r="127" spans="2:8" x14ac:dyDescent="0.25">
      <c r="B127" s="184"/>
      <c r="C127" s="184" t="s">
        <v>213</v>
      </c>
      <c r="D127" s="223">
        <v>0</v>
      </c>
      <c r="E127"/>
      <c r="F127"/>
      <c r="G127"/>
      <c r="H127"/>
    </row>
    <row r="128" spans="2:8" x14ac:dyDescent="0.25">
      <c r="B128" s="184"/>
      <c r="C128" s="184" t="s">
        <v>214</v>
      </c>
      <c r="D128" s="223">
        <v>0</v>
      </c>
      <c r="E128"/>
      <c r="F128"/>
      <c r="G128"/>
      <c r="H128"/>
    </row>
    <row r="129" spans="2:8" x14ac:dyDescent="0.25">
      <c r="B129" s="184"/>
      <c r="C129" s="184" t="s">
        <v>215</v>
      </c>
      <c r="D129" s="223">
        <v>0</v>
      </c>
      <c r="E129"/>
      <c r="F129"/>
      <c r="G129"/>
      <c r="H129"/>
    </row>
    <row r="130" spans="2:8" x14ac:dyDescent="0.25">
      <c r="B130" s="184"/>
      <c r="C130" s="224" t="s">
        <v>216</v>
      </c>
      <c r="D130" s="223">
        <v>0</v>
      </c>
      <c r="E130"/>
      <c r="F130"/>
      <c r="G130"/>
      <c r="H130"/>
    </row>
    <row r="131" spans="2:8" x14ac:dyDescent="0.25">
      <c r="B131" s="184"/>
      <c r="C131" s="184"/>
      <c r="D131" s="216"/>
      <c r="E131"/>
      <c r="F131"/>
      <c r="G131"/>
      <c r="H131"/>
    </row>
    <row r="132" spans="2:8" ht="13.8" thickBot="1" x14ac:dyDescent="0.3">
      <c r="B132" s="184"/>
      <c r="C132" s="227" t="s">
        <v>217</v>
      </c>
      <c r="D132" s="228">
        <v>40614.199999999997</v>
      </c>
      <c r="E132"/>
      <c r="F132"/>
      <c r="G132"/>
      <c r="H132"/>
    </row>
    <row r="133" spans="2:8" ht="13.8" thickTop="1" x14ac:dyDescent="0.25">
      <c r="B133" s="184"/>
      <c r="C133" s="184"/>
      <c r="D133" s="216"/>
      <c r="E133"/>
      <c r="F133"/>
      <c r="G133"/>
      <c r="H133"/>
    </row>
    <row r="134" spans="2:8" x14ac:dyDescent="0.25">
      <c r="B134" s="219" t="s">
        <v>219</v>
      </c>
      <c r="C134" s="220"/>
      <c r="D134" s="223"/>
      <c r="E134"/>
      <c r="F134"/>
      <c r="G134"/>
      <c r="H134"/>
    </row>
    <row r="135" spans="2:8" x14ac:dyDescent="0.25">
      <c r="B135" s="184"/>
      <c r="C135" s="312" t="s">
        <v>199</v>
      </c>
      <c r="D135" s="223">
        <v>309701.17000000004</v>
      </c>
      <c r="E135"/>
      <c r="F135"/>
      <c r="G135"/>
      <c r="H135"/>
    </row>
    <row r="136" spans="2:8" x14ac:dyDescent="0.25">
      <c r="B136" s="184"/>
      <c r="C136" s="312" t="s">
        <v>220</v>
      </c>
      <c r="D136" s="223">
        <v>0</v>
      </c>
      <c r="E136"/>
      <c r="F136"/>
      <c r="G136"/>
      <c r="H136"/>
    </row>
    <row r="137" spans="2:8" x14ac:dyDescent="0.25">
      <c r="B137" s="184"/>
      <c r="C137" s="224" t="s">
        <v>201</v>
      </c>
      <c r="D137" s="223"/>
      <c r="E137"/>
      <c r="F137"/>
      <c r="G137"/>
      <c r="H137"/>
    </row>
    <row r="138" spans="2:8" x14ac:dyDescent="0.25">
      <c r="B138" s="184"/>
      <c r="C138" s="184" t="s">
        <v>202</v>
      </c>
      <c r="D138" s="223">
        <v>5213380.0100000016</v>
      </c>
      <c r="E138"/>
      <c r="F138"/>
      <c r="G138"/>
      <c r="H138"/>
    </row>
    <row r="139" spans="2:8" x14ac:dyDescent="0.25">
      <c r="B139" s="184"/>
      <c r="C139" s="184" t="s">
        <v>203</v>
      </c>
      <c r="D139" s="223">
        <v>0</v>
      </c>
      <c r="E139"/>
      <c r="F139"/>
      <c r="G139"/>
      <c r="H139"/>
    </row>
    <row r="140" spans="2:8" x14ac:dyDescent="0.25">
      <c r="B140" s="184"/>
      <c r="C140" s="184" t="s">
        <v>204</v>
      </c>
      <c r="D140" s="223">
        <v>404147</v>
      </c>
      <c r="E140"/>
      <c r="F140"/>
      <c r="G140"/>
      <c r="H140"/>
    </row>
    <row r="141" spans="2:8" x14ac:dyDescent="0.25">
      <c r="B141" s="184"/>
      <c r="C141" s="184" t="s">
        <v>205</v>
      </c>
      <c r="D141" s="223">
        <v>0</v>
      </c>
      <c r="E141"/>
      <c r="F141"/>
      <c r="G141"/>
      <c r="H141"/>
    </row>
    <row r="142" spans="2:8" x14ac:dyDescent="0.25">
      <c r="B142" s="184"/>
      <c r="C142" s="184" t="s">
        <v>206</v>
      </c>
      <c r="D142" s="223">
        <v>0</v>
      </c>
      <c r="E142"/>
      <c r="F142"/>
      <c r="G142"/>
      <c r="H142"/>
    </row>
    <row r="143" spans="2:8" x14ac:dyDescent="0.25">
      <c r="B143" s="184"/>
      <c r="C143" s="184" t="s">
        <v>207</v>
      </c>
      <c r="D143" s="223">
        <v>309815.93</v>
      </c>
      <c r="E143"/>
      <c r="F143"/>
      <c r="G143"/>
      <c r="H143"/>
    </row>
    <row r="144" spans="2:8" x14ac:dyDescent="0.25">
      <c r="B144" s="184"/>
      <c r="C144" s="184" t="s">
        <v>208</v>
      </c>
      <c r="D144" s="223">
        <v>161371.20000000001</v>
      </c>
      <c r="E144"/>
      <c r="F144"/>
      <c r="G144"/>
      <c r="H144"/>
    </row>
    <row r="145" spans="2:8" x14ac:dyDescent="0.25">
      <c r="B145" s="184"/>
      <c r="C145" s="184" t="s">
        <v>209</v>
      </c>
      <c r="D145" s="223">
        <v>377295.20999999996</v>
      </c>
      <c r="E145"/>
      <c r="F145"/>
      <c r="G145"/>
      <c r="H145"/>
    </row>
    <row r="146" spans="2:8" x14ac:dyDescent="0.25">
      <c r="B146" s="184"/>
      <c r="C146" s="184" t="s">
        <v>210</v>
      </c>
      <c r="D146" s="223">
        <v>0</v>
      </c>
      <c r="E146"/>
      <c r="F146"/>
      <c r="G146"/>
      <c r="H146"/>
    </row>
    <row r="147" spans="2:8" x14ac:dyDescent="0.25">
      <c r="B147" s="184"/>
      <c r="C147" s="184" t="s">
        <v>211</v>
      </c>
      <c r="D147" s="223">
        <v>0</v>
      </c>
      <c r="E147"/>
      <c r="F147"/>
      <c r="G147"/>
      <c r="H147"/>
    </row>
    <row r="148" spans="2:8" x14ac:dyDescent="0.25">
      <c r="B148" s="184"/>
      <c r="C148" s="184" t="s">
        <v>212</v>
      </c>
      <c r="D148" s="223">
        <v>49478.57</v>
      </c>
      <c r="E148"/>
      <c r="F148"/>
      <c r="G148"/>
      <c r="H148"/>
    </row>
    <row r="149" spans="2:8" x14ac:dyDescent="0.25">
      <c r="B149" s="184"/>
      <c r="C149" s="224" t="s">
        <v>216</v>
      </c>
      <c r="D149" s="223">
        <v>0</v>
      </c>
      <c r="E149"/>
      <c r="F149"/>
      <c r="G149"/>
      <c r="H149"/>
    </row>
    <row r="150" spans="2:8" x14ac:dyDescent="0.25">
      <c r="B150" s="184"/>
      <c r="C150" s="184" t="s">
        <v>221</v>
      </c>
      <c r="D150" s="223">
        <v>0</v>
      </c>
      <c r="E150"/>
      <c r="F150"/>
      <c r="G150"/>
      <c r="H150"/>
    </row>
    <row r="151" spans="2:8" x14ac:dyDescent="0.25">
      <c r="B151" s="184"/>
      <c r="C151" s="184" t="s">
        <v>222</v>
      </c>
      <c r="D151" s="223">
        <v>0</v>
      </c>
      <c r="E151"/>
      <c r="F151"/>
      <c r="G151"/>
      <c r="H151"/>
    </row>
    <row r="152" spans="2:8" x14ac:dyDescent="0.25">
      <c r="B152" s="184"/>
      <c r="C152" s="184" t="s">
        <v>223</v>
      </c>
      <c r="D152" s="223">
        <v>0</v>
      </c>
      <c r="E152"/>
      <c r="F152"/>
      <c r="G152"/>
      <c r="H152"/>
    </row>
    <row r="153" spans="2:8" x14ac:dyDescent="0.25">
      <c r="B153" s="184"/>
      <c r="C153" s="184"/>
      <c r="D153" s="216"/>
      <c r="E153"/>
      <c r="F153"/>
      <c r="G153"/>
      <c r="H153"/>
    </row>
    <row r="154" spans="2:8" ht="13.8" thickBot="1" x14ac:dyDescent="0.3">
      <c r="B154" s="184"/>
      <c r="C154" s="227" t="s">
        <v>224</v>
      </c>
      <c r="D154" s="228">
        <f>SUM(D135:D153)</f>
        <v>6825189.0900000017</v>
      </c>
      <c r="E154"/>
      <c r="F154"/>
      <c r="G154"/>
      <c r="H154"/>
    </row>
    <row r="155" spans="2:8" ht="13.8" thickTop="1" x14ac:dyDescent="0.25">
      <c r="B155" s="184"/>
      <c r="C155" s="224"/>
      <c r="D155" s="212"/>
      <c r="E155"/>
      <c r="F155"/>
      <c r="G155"/>
      <c r="H155"/>
    </row>
    <row r="156" spans="2:8" x14ac:dyDescent="0.25">
      <c r="B156" s="224" t="s">
        <v>225</v>
      </c>
      <c r="C156" s="184"/>
      <c r="D156" s="223"/>
      <c r="E156"/>
      <c r="F156"/>
      <c r="G156"/>
      <c r="H156"/>
    </row>
    <row r="157" spans="2:8" x14ac:dyDescent="0.25">
      <c r="B157" s="224"/>
      <c r="C157" s="312" t="s">
        <v>199</v>
      </c>
      <c r="D157" s="223">
        <v>1280379.5999999999</v>
      </c>
      <c r="E157"/>
      <c r="F157"/>
      <c r="G157"/>
      <c r="H157"/>
    </row>
    <row r="158" spans="2:8" x14ac:dyDescent="0.25">
      <c r="B158" s="224"/>
      <c r="C158" s="224" t="s">
        <v>201</v>
      </c>
      <c r="D158" s="223"/>
      <c r="E158"/>
      <c r="F158"/>
      <c r="G158"/>
      <c r="H158"/>
    </row>
    <row r="159" spans="2:8" x14ac:dyDescent="0.25">
      <c r="B159" s="224"/>
      <c r="C159" s="184" t="s">
        <v>202</v>
      </c>
      <c r="D159" s="223">
        <v>7300000</v>
      </c>
      <c r="E159"/>
      <c r="F159"/>
      <c r="G159"/>
      <c r="H159"/>
    </row>
    <row r="160" spans="2:8" x14ac:dyDescent="0.25">
      <c r="B160" s="224"/>
      <c r="C160" s="184" t="s">
        <v>203</v>
      </c>
      <c r="D160" s="223">
        <v>1639383.8299999998</v>
      </c>
      <c r="E160"/>
      <c r="F160"/>
      <c r="G160"/>
      <c r="H160"/>
    </row>
    <row r="161" spans="2:8" x14ac:dyDescent="0.25">
      <c r="B161" s="224"/>
      <c r="C161" s="184" t="s">
        <v>204</v>
      </c>
      <c r="D161" s="223">
        <v>21886.49</v>
      </c>
      <c r="E161"/>
      <c r="F161"/>
      <c r="G161"/>
      <c r="H161"/>
    </row>
    <row r="162" spans="2:8" x14ac:dyDescent="0.25">
      <c r="B162" s="224"/>
      <c r="C162" s="184" t="s">
        <v>205</v>
      </c>
      <c r="D162" s="223">
        <v>266790</v>
      </c>
      <c r="E162"/>
      <c r="F162"/>
      <c r="G162"/>
      <c r="H162"/>
    </row>
    <row r="163" spans="2:8" x14ac:dyDescent="0.25">
      <c r="B163" s="224"/>
      <c r="C163" s="184" t="s">
        <v>206</v>
      </c>
      <c r="D163" s="223">
        <v>216168.12</v>
      </c>
      <c r="E163"/>
      <c r="F163"/>
      <c r="G163"/>
      <c r="H163"/>
    </row>
    <row r="164" spans="2:8" x14ac:dyDescent="0.25">
      <c r="B164" s="184"/>
      <c r="C164" s="184" t="s">
        <v>207</v>
      </c>
      <c r="D164" s="232">
        <v>1508994</v>
      </c>
      <c r="E164"/>
      <c r="F164"/>
      <c r="G164"/>
      <c r="H164"/>
    </row>
    <row r="165" spans="2:8" x14ac:dyDescent="0.25">
      <c r="B165" s="184"/>
      <c r="C165" s="184" t="s">
        <v>208</v>
      </c>
      <c r="D165" s="232">
        <v>405926.88</v>
      </c>
      <c r="E165"/>
      <c r="F165"/>
      <c r="G165"/>
      <c r="H165"/>
    </row>
    <row r="166" spans="2:8" x14ac:dyDescent="0.25">
      <c r="B166" s="184"/>
      <c r="C166" s="184" t="s">
        <v>209</v>
      </c>
      <c r="D166" s="232">
        <v>623399.90000000014</v>
      </c>
      <c r="E166"/>
      <c r="F166"/>
      <c r="G166"/>
      <c r="H166"/>
    </row>
    <row r="167" spans="2:8" x14ac:dyDescent="0.25">
      <c r="B167" s="184"/>
      <c r="C167" s="184" t="s">
        <v>226</v>
      </c>
      <c r="D167" s="232">
        <v>526290.68999999994</v>
      </c>
      <c r="E167"/>
      <c r="F167"/>
      <c r="G167"/>
      <c r="H167"/>
    </row>
    <row r="168" spans="2:8" x14ac:dyDescent="0.25">
      <c r="B168" s="184"/>
      <c r="C168" s="184" t="s">
        <v>211</v>
      </c>
      <c r="D168" s="223">
        <v>458836.75999999995</v>
      </c>
      <c r="E168"/>
      <c r="F168"/>
      <c r="G168"/>
      <c r="H168"/>
    </row>
    <row r="169" spans="2:8" x14ac:dyDescent="0.25">
      <c r="B169" s="184"/>
      <c r="C169" s="184" t="s">
        <v>212</v>
      </c>
      <c r="D169" s="223">
        <v>5661.55</v>
      </c>
      <c r="E169"/>
      <c r="F169"/>
      <c r="G169"/>
      <c r="H169"/>
    </row>
    <row r="170" spans="2:8" x14ac:dyDescent="0.25">
      <c r="B170" s="184"/>
      <c r="C170" s="224" t="s">
        <v>216</v>
      </c>
      <c r="D170" s="223">
        <v>0</v>
      </c>
      <c r="E170" s="8"/>
      <c r="F170" s="8"/>
      <c r="G170" s="8"/>
      <c r="H170" s="8"/>
    </row>
    <row r="171" spans="2:8" x14ac:dyDescent="0.25">
      <c r="B171" s="184"/>
      <c r="C171" s="184" t="s">
        <v>244</v>
      </c>
      <c r="D171" s="223">
        <v>0</v>
      </c>
      <c r="E171" s="8"/>
      <c r="F171" s="8"/>
      <c r="G171" s="8"/>
      <c r="H171" s="8"/>
    </row>
    <row r="172" spans="2:8" x14ac:dyDescent="0.25">
      <c r="B172" s="184"/>
      <c r="C172" s="224"/>
      <c r="D172" s="216"/>
      <c r="E172"/>
      <c r="F172"/>
      <c r="G172"/>
      <c r="H172"/>
    </row>
    <row r="173" spans="2:8" ht="13.8" thickBot="1" x14ac:dyDescent="0.3">
      <c r="B173" s="184"/>
      <c r="C173" s="227" t="s">
        <v>227</v>
      </c>
      <c r="D173" s="228">
        <f>SUM(D157:D172)</f>
        <v>14253717.82</v>
      </c>
      <c r="E173"/>
      <c r="F173"/>
      <c r="G173"/>
      <c r="H173"/>
    </row>
    <row r="174" spans="2:8" ht="13.8" thickTop="1" x14ac:dyDescent="0.25">
      <c r="B174" s="184"/>
      <c r="C174" s="184"/>
      <c r="D174" s="216"/>
      <c r="E174"/>
      <c r="F174"/>
      <c r="G174"/>
      <c r="H174"/>
    </row>
    <row r="175" spans="2:8" x14ac:dyDescent="0.25">
      <c r="B175" s="224" t="s">
        <v>228</v>
      </c>
      <c r="C175" s="184"/>
      <c r="D175" s="216"/>
      <c r="E175"/>
      <c r="F175"/>
      <c r="G175"/>
      <c r="H175"/>
    </row>
    <row r="176" spans="2:8" x14ac:dyDescent="0.25">
      <c r="B176" s="224"/>
      <c r="C176" s="312" t="s">
        <v>229</v>
      </c>
      <c r="D176" s="223">
        <v>0</v>
      </c>
      <c r="E176"/>
      <c r="F176"/>
      <c r="G176"/>
      <c r="H176"/>
    </row>
    <row r="177" spans="2:8" x14ac:dyDescent="0.25">
      <c r="B177" s="224"/>
      <c r="C177" s="312" t="s">
        <v>230</v>
      </c>
      <c r="D177" s="223">
        <v>0</v>
      </c>
      <c r="E177"/>
      <c r="F177"/>
      <c r="G177"/>
      <c r="H177"/>
    </row>
    <row r="178" spans="2:8" x14ac:dyDescent="0.25">
      <c r="B178" s="224"/>
      <c r="C178" s="312" t="s">
        <v>231</v>
      </c>
      <c r="D178" s="223">
        <v>0</v>
      </c>
      <c r="E178"/>
      <c r="F178"/>
      <c r="G178"/>
      <c r="H178"/>
    </row>
    <row r="179" spans="2:8" x14ac:dyDescent="0.25">
      <c r="B179" s="184"/>
      <c r="C179" s="312" t="s">
        <v>203</v>
      </c>
      <c r="D179" s="223">
        <v>2253783.9700000002</v>
      </c>
      <c r="E179"/>
      <c r="F179"/>
      <c r="G179"/>
      <c r="H179"/>
    </row>
    <row r="180" spans="2:8" x14ac:dyDescent="0.25">
      <c r="B180" s="184"/>
      <c r="C180" s="312" t="s">
        <v>232</v>
      </c>
      <c r="D180" s="223">
        <v>0</v>
      </c>
      <c r="E180" t="s">
        <v>501</v>
      </c>
      <c r="F180"/>
      <c r="G180"/>
      <c r="H180"/>
    </row>
    <row r="181" spans="2:8" x14ac:dyDescent="0.25">
      <c r="B181" s="184"/>
      <c r="C181" s="184"/>
      <c r="D181" s="216"/>
      <c r="E181"/>
      <c r="F181"/>
      <c r="G181"/>
      <c r="H181"/>
    </row>
    <row r="182" spans="2:8" ht="13.8" thickBot="1" x14ac:dyDescent="0.3">
      <c r="B182" s="184"/>
      <c r="C182" s="227" t="s">
        <v>233</v>
      </c>
      <c r="D182" s="228">
        <f>SUM(D176:D181)</f>
        <v>2253783.9700000002</v>
      </c>
      <c r="E182"/>
      <c r="F182"/>
      <c r="G182"/>
      <c r="H182"/>
    </row>
    <row r="183" spans="2:8" ht="13.8" thickTop="1" x14ac:dyDescent="0.25">
      <c r="B183" s="184"/>
      <c r="C183" s="184"/>
      <c r="D183" s="216"/>
      <c r="E183"/>
      <c r="F183"/>
      <c r="G183"/>
      <c r="H183"/>
    </row>
    <row r="184" spans="2:8" x14ac:dyDescent="0.25">
      <c r="B184" s="224" t="s">
        <v>234</v>
      </c>
      <c r="C184" s="184"/>
      <c r="D184" s="223"/>
      <c r="E184"/>
      <c r="F184"/>
      <c r="G184"/>
      <c r="H184"/>
    </row>
    <row r="185" spans="2:8" x14ac:dyDescent="0.25">
      <c r="B185" s="184"/>
      <c r="C185" s="312" t="s">
        <v>235</v>
      </c>
      <c r="D185" s="223">
        <v>30672.97</v>
      </c>
      <c r="E185"/>
      <c r="F185"/>
      <c r="G185"/>
      <c r="H185"/>
    </row>
    <row r="186" spans="2:8" x14ac:dyDescent="0.25">
      <c r="B186" s="184"/>
      <c r="C186" s="312" t="s">
        <v>236</v>
      </c>
      <c r="D186" s="223">
        <v>1399881.2299999997</v>
      </c>
      <c r="E186"/>
      <c r="F186"/>
      <c r="G186"/>
      <c r="H186"/>
    </row>
    <row r="187" spans="2:8" x14ac:dyDescent="0.25">
      <c r="B187" s="184"/>
      <c r="C187" s="312" t="s">
        <v>237</v>
      </c>
      <c r="D187" s="223">
        <v>282946.76</v>
      </c>
      <c r="E187"/>
      <c r="F187"/>
      <c r="G187"/>
      <c r="H187"/>
    </row>
    <row r="188" spans="2:8" x14ac:dyDescent="0.25">
      <c r="B188" s="184"/>
      <c r="C188" s="224" t="s">
        <v>201</v>
      </c>
      <c r="D188" s="216"/>
      <c r="E188"/>
      <c r="F188"/>
      <c r="G188"/>
      <c r="H188"/>
    </row>
    <row r="189" spans="2:8" x14ac:dyDescent="0.25">
      <c r="B189" s="184"/>
      <c r="C189" s="184" t="s">
        <v>202</v>
      </c>
      <c r="D189" s="223">
        <v>0</v>
      </c>
      <c r="E189"/>
      <c r="F189"/>
      <c r="G189"/>
      <c r="H189"/>
    </row>
    <row r="190" spans="2:8" x14ac:dyDescent="0.25">
      <c r="B190" s="184"/>
      <c r="C190" s="184" t="s">
        <v>203</v>
      </c>
      <c r="D190" s="223">
        <v>719427.3600000001</v>
      </c>
      <c r="E190"/>
      <c r="F190"/>
      <c r="G190"/>
      <c r="H190"/>
    </row>
    <row r="191" spans="2:8" x14ac:dyDescent="0.25">
      <c r="B191" s="184"/>
      <c r="C191" s="184" t="s">
        <v>204</v>
      </c>
      <c r="D191" s="223">
        <v>424374.56</v>
      </c>
      <c r="E191"/>
      <c r="F191"/>
      <c r="G191"/>
      <c r="H191"/>
    </row>
    <row r="192" spans="2:8" x14ac:dyDescent="0.25">
      <c r="B192" s="184"/>
      <c r="C192" s="184" t="s">
        <v>205</v>
      </c>
      <c r="D192" s="223">
        <v>0</v>
      </c>
      <c r="E192"/>
      <c r="F192"/>
      <c r="G192"/>
      <c r="H192"/>
    </row>
    <row r="193" spans="2:8" x14ac:dyDescent="0.25">
      <c r="B193" s="184"/>
      <c r="C193" s="184" t="s">
        <v>206</v>
      </c>
      <c r="D193" s="223">
        <v>0</v>
      </c>
      <c r="E193"/>
      <c r="F193"/>
      <c r="G193"/>
      <c r="H193"/>
    </row>
    <row r="194" spans="2:8" x14ac:dyDescent="0.25">
      <c r="B194" s="184"/>
      <c r="C194" s="184" t="s">
        <v>207</v>
      </c>
      <c r="D194" s="223">
        <v>19525.150000000001</v>
      </c>
      <c r="E194"/>
      <c r="F194"/>
      <c r="G194"/>
      <c r="H194"/>
    </row>
    <row r="195" spans="2:8" x14ac:dyDescent="0.25">
      <c r="B195" s="184"/>
      <c r="C195" s="184" t="s">
        <v>208</v>
      </c>
      <c r="D195" s="223">
        <v>258086.28999999998</v>
      </c>
      <c r="E195"/>
      <c r="F195"/>
      <c r="G195"/>
      <c r="H195"/>
    </row>
    <row r="196" spans="2:8" x14ac:dyDescent="0.25">
      <c r="B196" s="184"/>
      <c r="C196" s="184" t="s">
        <v>209</v>
      </c>
      <c r="D196" s="223">
        <v>282959.26999999996</v>
      </c>
      <c r="E196"/>
      <c r="F196"/>
      <c r="G196"/>
      <c r="H196"/>
    </row>
    <row r="197" spans="2:8" x14ac:dyDescent="0.25">
      <c r="B197" s="184"/>
      <c r="C197" s="184" t="s">
        <v>226</v>
      </c>
      <c r="D197" s="223">
        <v>338653.17000000004</v>
      </c>
      <c r="E197"/>
      <c r="F197"/>
      <c r="G197"/>
      <c r="H197"/>
    </row>
    <row r="198" spans="2:8" x14ac:dyDescent="0.25">
      <c r="B198" s="184"/>
      <c r="C198" s="184" t="s">
        <v>211</v>
      </c>
      <c r="D198" s="223">
        <v>504670.47</v>
      </c>
      <c r="E198"/>
      <c r="F198"/>
      <c r="G198"/>
      <c r="H198"/>
    </row>
    <row r="199" spans="2:8" x14ac:dyDescent="0.25">
      <c r="B199" s="184"/>
      <c r="C199" s="184" t="s">
        <v>212</v>
      </c>
      <c r="D199" s="223">
        <v>0</v>
      </c>
      <c r="E199"/>
      <c r="F199"/>
      <c r="G199"/>
      <c r="H199"/>
    </row>
    <row r="200" spans="2:8" x14ac:dyDescent="0.25">
      <c r="B200" s="184"/>
      <c r="C200" s="184"/>
      <c r="D200" s="216"/>
      <c r="E200"/>
      <c r="F200"/>
      <c r="G200"/>
      <c r="H200"/>
    </row>
    <row r="201" spans="2:8" ht="13.8" thickBot="1" x14ac:dyDescent="0.3">
      <c r="B201" s="184"/>
      <c r="C201" s="227" t="s">
        <v>238</v>
      </c>
      <c r="D201" s="228">
        <f>SUM(D185:D200)</f>
        <v>4261197.2299999995</v>
      </c>
      <c r="E201"/>
      <c r="F201"/>
      <c r="G201"/>
      <c r="H201"/>
    </row>
    <row r="202" spans="2:8" ht="13.8" thickTop="1" x14ac:dyDescent="0.25">
      <c r="B202" s="184"/>
      <c r="C202" s="184"/>
      <c r="D202" s="216"/>
      <c r="E202"/>
      <c r="F202"/>
      <c r="G202"/>
      <c r="H202"/>
    </row>
    <row r="203" spans="2:8" x14ac:dyDescent="0.25">
      <c r="B203" s="224" t="s">
        <v>239</v>
      </c>
      <c r="C203" s="184"/>
      <c r="D203" s="223"/>
      <c r="E203"/>
      <c r="F203"/>
      <c r="G203"/>
      <c r="H203"/>
    </row>
    <row r="204" spans="2:8" x14ac:dyDescent="0.25">
      <c r="B204" s="184"/>
      <c r="C204" s="312" t="s">
        <v>240</v>
      </c>
      <c r="D204" s="223">
        <v>802730.79</v>
      </c>
      <c r="E204"/>
      <c r="F204"/>
      <c r="G204"/>
      <c r="H204"/>
    </row>
    <row r="205" spans="2:8" x14ac:dyDescent="0.25">
      <c r="B205" s="184"/>
      <c r="C205" s="184" t="s">
        <v>236</v>
      </c>
      <c r="D205" s="223">
        <v>0</v>
      </c>
      <c r="E205"/>
      <c r="F205"/>
      <c r="G205"/>
      <c r="H205"/>
    </row>
    <row r="206" spans="2:8" x14ac:dyDescent="0.25">
      <c r="B206" s="184"/>
      <c r="C206" s="184" t="s">
        <v>241</v>
      </c>
      <c r="D206" s="223">
        <v>0</v>
      </c>
      <c r="E206"/>
      <c r="F206"/>
      <c r="G206"/>
      <c r="H206"/>
    </row>
    <row r="207" spans="2:8" x14ac:dyDescent="0.25">
      <c r="B207" s="184"/>
      <c r="C207" s="184" t="s">
        <v>242</v>
      </c>
      <c r="D207" s="223">
        <v>0</v>
      </c>
      <c r="E207"/>
      <c r="F207"/>
      <c r="G207"/>
      <c r="H207"/>
    </row>
    <row r="208" spans="2:8" x14ac:dyDescent="0.25">
      <c r="B208" s="184"/>
      <c r="C208" s="184" t="s">
        <v>243</v>
      </c>
      <c r="D208" s="223">
        <v>0</v>
      </c>
      <c r="E208"/>
      <c r="F208"/>
      <c r="G208"/>
      <c r="H208"/>
    </row>
    <row r="209" spans="2:8" x14ac:dyDescent="0.25">
      <c r="B209" s="184"/>
      <c r="C209" s="224" t="s">
        <v>201</v>
      </c>
      <c r="D209" s="223"/>
      <c r="E209"/>
      <c r="F209"/>
      <c r="G209"/>
      <c r="H209"/>
    </row>
    <row r="210" spans="2:8" x14ac:dyDescent="0.25">
      <c r="B210" s="184"/>
      <c r="C210" s="184" t="s">
        <v>202</v>
      </c>
      <c r="D210" s="223">
        <v>0</v>
      </c>
      <c r="E210"/>
      <c r="F210"/>
      <c r="G210"/>
      <c r="H210"/>
    </row>
    <row r="211" spans="2:8" x14ac:dyDescent="0.25">
      <c r="B211" s="184"/>
      <c r="C211" s="184" t="s">
        <v>203</v>
      </c>
      <c r="D211" s="223">
        <v>1456842.43</v>
      </c>
      <c r="E211"/>
      <c r="F211"/>
      <c r="G211"/>
      <c r="H211"/>
    </row>
    <row r="212" spans="2:8" x14ac:dyDescent="0.25">
      <c r="B212" s="184"/>
      <c r="C212" s="184" t="s">
        <v>204</v>
      </c>
      <c r="D212" s="223">
        <v>0</v>
      </c>
      <c r="E212"/>
      <c r="F212"/>
      <c r="G212"/>
      <c r="H212"/>
    </row>
    <row r="213" spans="2:8" x14ac:dyDescent="0.25">
      <c r="B213" s="184"/>
      <c r="C213" s="184" t="s">
        <v>205</v>
      </c>
      <c r="D213" s="223">
        <v>134506.43000000002</v>
      </c>
      <c r="E213"/>
      <c r="F213"/>
      <c r="G213"/>
      <c r="H213"/>
    </row>
    <row r="214" spans="2:8" x14ac:dyDescent="0.25">
      <c r="B214" s="184"/>
      <c r="C214" s="184" t="s">
        <v>206</v>
      </c>
      <c r="D214" s="223">
        <v>0</v>
      </c>
      <c r="E214"/>
      <c r="F214"/>
      <c r="G214"/>
      <c r="H214"/>
    </row>
    <row r="215" spans="2:8" x14ac:dyDescent="0.25">
      <c r="B215" s="234"/>
      <c r="C215" s="234" t="s">
        <v>207</v>
      </c>
      <c r="D215" s="238">
        <v>160452.46</v>
      </c>
      <c r="E215"/>
      <c r="F215"/>
      <c r="G215"/>
      <c r="H215"/>
    </row>
    <row r="216" spans="2:8" x14ac:dyDescent="0.25">
      <c r="B216" s="184"/>
      <c r="C216" s="184" t="s">
        <v>208</v>
      </c>
      <c r="D216" s="223">
        <v>0</v>
      </c>
      <c r="E216"/>
      <c r="F216"/>
      <c r="G216"/>
      <c r="H216"/>
    </row>
    <row r="217" spans="2:8" x14ac:dyDescent="0.25">
      <c r="B217" s="184"/>
      <c r="C217" s="184" t="s">
        <v>209</v>
      </c>
      <c r="D217" s="223">
        <v>212943.8</v>
      </c>
      <c r="E217"/>
      <c r="F217"/>
      <c r="G217"/>
      <c r="H217"/>
    </row>
    <row r="218" spans="2:8" x14ac:dyDescent="0.25">
      <c r="B218" s="184"/>
      <c r="C218" s="184" t="s">
        <v>226</v>
      </c>
      <c r="D218" s="223">
        <v>0</v>
      </c>
      <c r="E218"/>
      <c r="F218"/>
      <c r="G218"/>
      <c r="H218"/>
    </row>
    <row r="219" spans="2:8" x14ac:dyDescent="0.25">
      <c r="B219" s="184"/>
      <c r="C219" s="184" t="s">
        <v>211</v>
      </c>
      <c r="D219" s="223">
        <v>760322.97</v>
      </c>
      <c r="E219"/>
      <c r="F219"/>
      <c r="G219"/>
      <c r="H219"/>
    </row>
    <row r="220" spans="2:8" x14ac:dyDescent="0.25">
      <c r="B220" s="234"/>
      <c r="C220" s="234" t="s">
        <v>212</v>
      </c>
      <c r="D220" s="245">
        <v>37409.100000000006</v>
      </c>
      <c r="E220"/>
      <c r="F220"/>
      <c r="G220"/>
      <c r="H220"/>
    </row>
    <row r="221" spans="2:8" x14ac:dyDescent="0.25">
      <c r="B221" s="184"/>
      <c r="C221" s="224" t="s">
        <v>216</v>
      </c>
      <c r="D221" s="223"/>
      <c r="E221"/>
      <c r="F221"/>
      <c r="G221"/>
      <c r="H221"/>
    </row>
    <row r="222" spans="2:8" x14ac:dyDescent="0.25">
      <c r="B222" s="184"/>
      <c r="C222" s="184" t="s">
        <v>244</v>
      </c>
      <c r="D222" s="223">
        <v>0</v>
      </c>
      <c r="E222"/>
      <c r="F222"/>
      <c r="G222"/>
      <c r="H222"/>
    </row>
    <row r="223" spans="2:8" x14ac:dyDescent="0.25">
      <c r="B223" s="184"/>
      <c r="C223" s="184" t="s">
        <v>245</v>
      </c>
      <c r="D223" s="223">
        <v>1374259.93</v>
      </c>
      <c r="E223"/>
      <c r="F223"/>
      <c r="G223"/>
      <c r="H223"/>
    </row>
    <row r="224" spans="2:8" x14ac:dyDescent="0.25">
      <c r="B224" s="184"/>
      <c r="C224" s="224"/>
      <c r="D224" s="223"/>
      <c r="E224"/>
      <c r="F224"/>
      <c r="G224"/>
      <c r="H224"/>
    </row>
    <row r="225" spans="2:8" ht="13.8" thickBot="1" x14ac:dyDescent="0.3">
      <c r="B225" s="184"/>
      <c r="C225" s="227" t="s">
        <v>246</v>
      </c>
      <c r="D225" s="228">
        <v>4939467.91</v>
      </c>
      <c r="E225"/>
      <c r="F225"/>
      <c r="G225"/>
      <c r="H225"/>
    </row>
    <row r="226" spans="2:8" ht="13.8" thickTop="1" x14ac:dyDescent="0.25">
      <c r="B226" s="184"/>
      <c r="C226" s="224"/>
      <c r="D226" s="223"/>
      <c r="E226"/>
      <c r="F226"/>
      <c r="G226"/>
      <c r="H226"/>
    </row>
    <row r="227" spans="2:8" x14ac:dyDescent="0.25">
      <c r="B227" s="224" t="s">
        <v>247</v>
      </c>
      <c r="C227" s="184"/>
      <c r="D227" s="223"/>
      <c r="E227"/>
      <c r="F227"/>
      <c r="G227"/>
      <c r="H227"/>
    </row>
    <row r="228" spans="2:8" x14ac:dyDescent="0.25">
      <c r="B228" s="184"/>
      <c r="C228" s="312" t="s">
        <v>248</v>
      </c>
      <c r="D228" s="223">
        <v>2814.5699999999997</v>
      </c>
      <c r="E228"/>
      <c r="F228"/>
      <c r="G228"/>
      <c r="H228"/>
    </row>
    <row r="229" spans="2:8" x14ac:dyDescent="0.25">
      <c r="B229" s="184"/>
      <c r="C229" s="184" t="s">
        <v>243</v>
      </c>
      <c r="D229" s="223">
        <v>0</v>
      </c>
      <c r="E229"/>
      <c r="F229"/>
      <c r="G229"/>
      <c r="H229"/>
    </row>
    <row r="230" spans="2:8" x14ac:dyDescent="0.25">
      <c r="B230" s="184"/>
      <c r="C230" s="224" t="s">
        <v>201</v>
      </c>
      <c r="D230" s="223"/>
      <c r="E230"/>
      <c r="F230"/>
      <c r="G230"/>
      <c r="H230"/>
    </row>
    <row r="231" spans="2:8" x14ac:dyDescent="0.25">
      <c r="B231" s="184"/>
      <c r="C231" s="184" t="s">
        <v>202</v>
      </c>
      <c r="D231" s="223">
        <v>0</v>
      </c>
      <c r="E231"/>
      <c r="F231"/>
      <c r="G231"/>
      <c r="H231"/>
    </row>
    <row r="232" spans="2:8" x14ac:dyDescent="0.25">
      <c r="B232" s="184"/>
      <c r="C232" s="184" t="s">
        <v>203</v>
      </c>
      <c r="D232" s="223">
        <v>1014428.9500000001</v>
      </c>
      <c r="E232"/>
      <c r="F232"/>
      <c r="G232"/>
      <c r="H232"/>
    </row>
    <row r="233" spans="2:8" x14ac:dyDescent="0.25">
      <c r="B233" s="184"/>
      <c r="C233" s="184" t="s">
        <v>204</v>
      </c>
      <c r="D233" s="223">
        <v>480467.08000000007</v>
      </c>
      <c r="E233"/>
      <c r="F233"/>
      <c r="G233"/>
      <c r="H233"/>
    </row>
    <row r="234" spans="2:8" x14ac:dyDescent="0.25">
      <c r="B234" s="184"/>
      <c r="C234" s="184" t="s">
        <v>205</v>
      </c>
      <c r="D234" s="223">
        <v>155222.82999999999</v>
      </c>
      <c r="E234"/>
      <c r="F234"/>
      <c r="G234"/>
      <c r="H234"/>
    </row>
    <row r="235" spans="2:8" x14ac:dyDescent="0.25">
      <c r="B235" s="184"/>
      <c r="C235" s="184" t="s">
        <v>206</v>
      </c>
      <c r="D235" s="223">
        <v>0</v>
      </c>
      <c r="E235"/>
      <c r="F235"/>
      <c r="G235"/>
      <c r="H235"/>
    </row>
    <row r="236" spans="2:8" x14ac:dyDescent="0.25">
      <c r="B236" s="184"/>
      <c r="C236" s="184" t="s">
        <v>207</v>
      </c>
      <c r="D236" s="223">
        <v>0</v>
      </c>
      <c r="E236"/>
      <c r="F236"/>
      <c r="G236"/>
      <c r="H236"/>
    </row>
    <row r="237" spans="2:8" x14ac:dyDescent="0.25">
      <c r="B237" s="184"/>
      <c r="C237" s="184" t="s">
        <v>208</v>
      </c>
      <c r="D237" s="223">
        <v>0</v>
      </c>
      <c r="E237"/>
      <c r="F237"/>
      <c r="G237"/>
      <c r="H237"/>
    </row>
    <row r="238" spans="2:8" x14ac:dyDescent="0.25">
      <c r="B238" s="184"/>
      <c r="C238" s="184" t="s">
        <v>209</v>
      </c>
      <c r="D238" s="223">
        <v>64230.810000000005</v>
      </c>
      <c r="E238"/>
      <c r="F238"/>
      <c r="G238"/>
      <c r="H238"/>
    </row>
    <row r="239" spans="2:8" x14ac:dyDescent="0.25">
      <c r="B239" s="184"/>
      <c r="C239" s="184" t="s">
        <v>226</v>
      </c>
      <c r="D239" s="223">
        <v>206747.25</v>
      </c>
      <c r="E239"/>
      <c r="F239"/>
      <c r="G239"/>
      <c r="H239"/>
    </row>
    <row r="240" spans="2:8" x14ac:dyDescent="0.25">
      <c r="B240" s="184"/>
      <c r="C240" s="184" t="s">
        <v>211</v>
      </c>
      <c r="D240" s="223">
        <v>167731.07</v>
      </c>
      <c r="E240"/>
      <c r="F240"/>
      <c r="G240"/>
      <c r="H240"/>
    </row>
    <row r="241" spans="2:8" x14ac:dyDescent="0.25">
      <c r="B241" s="184"/>
      <c r="C241" s="184" t="s">
        <v>212</v>
      </c>
      <c r="D241" s="223">
        <v>0</v>
      </c>
      <c r="E241"/>
      <c r="F241"/>
      <c r="G241"/>
      <c r="H241"/>
    </row>
    <row r="242" spans="2:8" x14ac:dyDescent="0.25">
      <c r="B242" s="184"/>
      <c r="C242" s="248" t="s">
        <v>216</v>
      </c>
      <c r="D242" s="223">
        <v>0</v>
      </c>
      <c r="E242"/>
      <c r="F242"/>
      <c r="G242"/>
      <c r="H242"/>
    </row>
    <row r="243" spans="2:8" x14ac:dyDescent="0.25">
      <c r="B243" s="184"/>
      <c r="C243" s="184" t="s">
        <v>251</v>
      </c>
      <c r="D243" s="223">
        <v>0</v>
      </c>
      <c r="E243"/>
      <c r="F243"/>
      <c r="G243"/>
      <c r="H243"/>
    </row>
    <row r="244" spans="2:8" x14ac:dyDescent="0.25">
      <c r="B244" s="184"/>
      <c r="C244" s="184" t="s">
        <v>252</v>
      </c>
      <c r="D244" s="223">
        <v>0</v>
      </c>
      <c r="E244"/>
      <c r="F244"/>
      <c r="G244"/>
      <c r="H244"/>
    </row>
    <row r="245" spans="2:8" x14ac:dyDescent="0.25">
      <c r="B245" s="184"/>
      <c r="C245" s="249" t="s">
        <v>253</v>
      </c>
      <c r="D245" s="223">
        <v>0</v>
      </c>
      <c r="E245"/>
      <c r="F245"/>
      <c r="G245"/>
      <c r="H245"/>
    </row>
    <row r="246" spans="2:8" x14ac:dyDescent="0.25">
      <c r="B246" s="184"/>
      <c r="C246" s="249" t="s">
        <v>254</v>
      </c>
      <c r="D246" s="223">
        <v>0</v>
      </c>
      <c r="E246"/>
      <c r="F246"/>
      <c r="G246"/>
      <c r="H246"/>
    </row>
    <row r="247" spans="2:8" x14ac:dyDescent="0.25">
      <c r="B247" s="184"/>
      <c r="C247" s="184"/>
      <c r="D247" s="216"/>
      <c r="E247"/>
      <c r="F247"/>
      <c r="G247"/>
      <c r="H247"/>
    </row>
    <row r="248" spans="2:8" ht="13.8" thickBot="1" x14ac:dyDescent="0.3">
      <c r="B248" s="184"/>
      <c r="C248" s="227" t="s">
        <v>255</v>
      </c>
      <c r="D248" s="228">
        <f>SUM(D228:D247)</f>
        <v>2091642.5600000003</v>
      </c>
      <c r="E248"/>
      <c r="F248"/>
      <c r="G248"/>
      <c r="H248"/>
    </row>
    <row r="249" spans="2:8" ht="13.8" thickTop="1" x14ac:dyDescent="0.25">
      <c r="B249" s="184"/>
      <c r="C249" s="224"/>
      <c r="D249" s="212"/>
      <c r="E249"/>
      <c r="F249"/>
      <c r="G249"/>
      <c r="H249"/>
    </row>
    <row r="250" spans="2:8" x14ac:dyDescent="0.25">
      <c r="B250" s="224" t="s">
        <v>256</v>
      </c>
      <c r="C250" s="184"/>
      <c r="D250" s="223"/>
      <c r="E250"/>
      <c r="F250"/>
      <c r="G250"/>
      <c r="H250"/>
    </row>
    <row r="251" spans="2:8" hidden="1" x14ac:dyDescent="0.25">
      <c r="B251" s="184"/>
      <c r="C251" s="329" t="s">
        <v>257</v>
      </c>
      <c r="D251" s="223">
        <v>0</v>
      </c>
      <c r="E251"/>
      <c r="F251"/>
      <c r="G251"/>
      <c r="H251"/>
    </row>
    <row r="252" spans="2:8" hidden="1" x14ac:dyDescent="0.25">
      <c r="B252" s="184"/>
      <c r="C252" s="329" t="s">
        <v>258</v>
      </c>
      <c r="D252" s="223">
        <v>0</v>
      </c>
      <c r="E252"/>
      <c r="F252"/>
      <c r="G252"/>
      <c r="H252"/>
    </row>
    <row r="253" spans="2:8" hidden="1" x14ac:dyDescent="0.25">
      <c r="B253" s="184"/>
      <c r="C253" s="224" t="s">
        <v>201</v>
      </c>
      <c r="D253" s="223"/>
      <c r="E253"/>
      <c r="F253"/>
      <c r="G253"/>
      <c r="H253"/>
    </row>
    <row r="254" spans="2:8" hidden="1" x14ac:dyDescent="0.25">
      <c r="B254" s="184"/>
      <c r="C254" s="329" t="s">
        <v>202</v>
      </c>
      <c r="D254" s="223">
        <v>0</v>
      </c>
      <c r="E254"/>
      <c r="F254"/>
      <c r="G254"/>
      <c r="H254"/>
    </row>
    <row r="255" spans="2:8" x14ac:dyDescent="0.25">
      <c r="B255" s="184"/>
      <c r="C255" s="184" t="s">
        <v>203</v>
      </c>
      <c r="D255" s="223">
        <v>945312.5199999999</v>
      </c>
      <c r="E255"/>
      <c r="F255"/>
      <c r="G255"/>
      <c r="H255"/>
    </row>
    <row r="256" spans="2:8" x14ac:dyDescent="0.25">
      <c r="B256" s="184"/>
      <c r="C256" s="184" t="s">
        <v>204</v>
      </c>
      <c r="D256" s="223">
        <v>1473.29</v>
      </c>
      <c r="E256"/>
      <c r="F256"/>
      <c r="G256"/>
      <c r="H256"/>
    </row>
    <row r="257" spans="2:8" hidden="1" x14ac:dyDescent="0.25">
      <c r="B257" s="184"/>
      <c r="C257" s="329" t="s">
        <v>205</v>
      </c>
      <c r="D257" s="223">
        <v>0</v>
      </c>
      <c r="E257"/>
      <c r="F257"/>
      <c r="G257"/>
      <c r="H257"/>
    </row>
    <row r="258" spans="2:8" hidden="1" x14ac:dyDescent="0.25">
      <c r="B258" s="184"/>
      <c r="C258" s="329" t="s">
        <v>206</v>
      </c>
      <c r="D258" s="223">
        <v>0</v>
      </c>
      <c r="E258"/>
      <c r="F258"/>
      <c r="G258"/>
      <c r="H258"/>
    </row>
    <row r="259" spans="2:8" x14ac:dyDescent="0.25">
      <c r="B259" s="184"/>
      <c r="C259" s="184" t="s">
        <v>207</v>
      </c>
      <c r="D259" s="223">
        <v>351872.02</v>
      </c>
      <c r="E259"/>
      <c r="F259"/>
      <c r="G259"/>
      <c r="H259"/>
    </row>
    <row r="260" spans="2:8" hidden="1" x14ac:dyDescent="0.25">
      <c r="B260" s="184"/>
      <c r="C260" s="329" t="s">
        <v>208</v>
      </c>
      <c r="D260" s="223">
        <v>0</v>
      </c>
      <c r="E260"/>
      <c r="F260"/>
      <c r="G260"/>
      <c r="H260"/>
    </row>
    <row r="261" spans="2:8" x14ac:dyDescent="0.25">
      <c r="B261" s="184"/>
      <c r="C261" s="184" t="s">
        <v>209</v>
      </c>
      <c r="D261" s="223">
        <v>33258.36</v>
      </c>
      <c r="E261"/>
      <c r="F261"/>
      <c r="G261"/>
      <c r="H261"/>
    </row>
    <row r="262" spans="2:8" x14ac:dyDescent="0.25">
      <c r="B262" s="184"/>
      <c r="C262" s="184" t="s">
        <v>226</v>
      </c>
      <c r="D262" s="223">
        <v>0</v>
      </c>
      <c r="E262"/>
      <c r="F262"/>
      <c r="G262"/>
      <c r="H262"/>
    </row>
    <row r="263" spans="2:8" x14ac:dyDescent="0.25">
      <c r="B263" s="184"/>
      <c r="C263" s="184" t="s">
        <v>211</v>
      </c>
      <c r="D263" s="223">
        <v>29094.27</v>
      </c>
      <c r="E263"/>
      <c r="F263"/>
      <c r="G263"/>
      <c r="H263"/>
    </row>
    <row r="264" spans="2:8" x14ac:dyDescent="0.25">
      <c r="B264" s="184"/>
      <c r="C264" s="184" t="s">
        <v>212</v>
      </c>
      <c r="D264" s="223">
        <v>179611.54</v>
      </c>
      <c r="E264"/>
      <c r="F264"/>
      <c r="G264"/>
      <c r="H264"/>
    </row>
    <row r="265" spans="2:8" x14ac:dyDescent="0.25">
      <c r="B265" s="184"/>
      <c r="C265" s="224" t="s">
        <v>216</v>
      </c>
      <c r="D265" s="223"/>
      <c r="E265"/>
      <c r="F265"/>
      <c r="G265"/>
      <c r="H265"/>
    </row>
    <row r="266" spans="2:8" x14ac:dyDescent="0.25">
      <c r="B266" s="184"/>
      <c r="C266" s="184" t="s">
        <v>259</v>
      </c>
      <c r="D266" s="223">
        <v>0</v>
      </c>
      <c r="E266"/>
      <c r="F266"/>
      <c r="G266"/>
      <c r="H266"/>
    </row>
    <row r="267" spans="2:8" x14ac:dyDescent="0.25">
      <c r="B267" s="184"/>
      <c r="C267" s="184"/>
      <c r="D267" s="216"/>
      <c r="E267"/>
      <c r="F267"/>
      <c r="G267"/>
      <c r="H267"/>
    </row>
    <row r="268" spans="2:8" ht="13.8" thickBot="1" x14ac:dyDescent="0.3">
      <c r="B268" s="184"/>
      <c r="C268" s="227" t="s">
        <v>260</v>
      </c>
      <c r="D268" s="228">
        <f>SUM(D251:D267)</f>
        <v>1540622.0000000002</v>
      </c>
      <c r="E268"/>
      <c r="F268"/>
      <c r="G268"/>
      <c r="H268"/>
    </row>
    <row r="269" spans="2:8" ht="13.8" thickTop="1" x14ac:dyDescent="0.25">
      <c r="B269" s="184"/>
      <c r="C269" s="184"/>
      <c r="D269" s="216"/>
      <c r="E269"/>
      <c r="F269"/>
      <c r="G269"/>
      <c r="H269"/>
    </row>
    <row r="270" spans="2:8" x14ac:dyDescent="0.25">
      <c r="B270" s="224" t="s">
        <v>261</v>
      </c>
      <c r="C270" s="184"/>
      <c r="D270" s="216"/>
      <c r="E270"/>
      <c r="F270"/>
      <c r="G270"/>
      <c r="H270"/>
    </row>
    <row r="271" spans="2:8" x14ac:dyDescent="0.25">
      <c r="B271" s="184"/>
      <c r="C271" s="184" t="s">
        <v>257</v>
      </c>
      <c r="D271" s="223">
        <v>0</v>
      </c>
      <c r="E271"/>
      <c r="F271"/>
      <c r="G271"/>
      <c r="H271"/>
    </row>
    <row r="272" spans="2:8" x14ac:dyDescent="0.25">
      <c r="B272" s="184"/>
      <c r="C272" s="224" t="s">
        <v>201</v>
      </c>
      <c r="D272" s="216"/>
      <c r="E272"/>
      <c r="F272"/>
      <c r="G272"/>
      <c r="H272"/>
    </row>
    <row r="273" spans="2:8" x14ac:dyDescent="0.25">
      <c r="B273" s="184"/>
      <c r="C273" s="184" t="s">
        <v>202</v>
      </c>
      <c r="D273" s="223">
        <v>0</v>
      </c>
      <c r="E273"/>
      <c r="F273"/>
      <c r="G273"/>
      <c r="H273"/>
    </row>
    <row r="274" spans="2:8" x14ac:dyDescent="0.25">
      <c r="B274" s="184"/>
      <c r="C274" s="184" t="s">
        <v>203</v>
      </c>
      <c r="D274" s="223">
        <v>1142422.08</v>
      </c>
      <c r="E274"/>
      <c r="F274"/>
      <c r="G274"/>
      <c r="H274"/>
    </row>
    <row r="275" spans="2:8" hidden="1" x14ac:dyDescent="0.25">
      <c r="B275" s="184"/>
      <c r="C275" s="329" t="s">
        <v>204</v>
      </c>
      <c r="D275" s="223">
        <v>0</v>
      </c>
      <c r="E275"/>
      <c r="F275"/>
      <c r="G275"/>
      <c r="H275"/>
    </row>
    <row r="276" spans="2:8" hidden="1" x14ac:dyDescent="0.25">
      <c r="B276" s="184"/>
      <c r="C276" s="329" t="s">
        <v>205</v>
      </c>
      <c r="D276" s="223">
        <v>0</v>
      </c>
      <c r="E276"/>
      <c r="F276"/>
      <c r="G276"/>
      <c r="H276"/>
    </row>
    <row r="277" spans="2:8" hidden="1" x14ac:dyDescent="0.25">
      <c r="B277" s="184"/>
      <c r="C277" s="329" t="s">
        <v>206</v>
      </c>
      <c r="D277" s="223">
        <v>0</v>
      </c>
      <c r="E277"/>
      <c r="F277"/>
      <c r="G277"/>
      <c r="H277"/>
    </row>
    <row r="278" spans="2:8" x14ac:dyDescent="0.25">
      <c r="B278" s="184"/>
      <c r="C278" s="184" t="s">
        <v>207</v>
      </c>
      <c r="D278" s="223">
        <v>73984.89</v>
      </c>
      <c r="E278"/>
      <c r="F278"/>
      <c r="G278"/>
      <c r="H278"/>
    </row>
    <row r="279" spans="2:8" x14ac:dyDescent="0.25">
      <c r="B279" s="184"/>
      <c r="C279" s="184" t="s">
        <v>208</v>
      </c>
      <c r="D279" s="223">
        <v>0</v>
      </c>
      <c r="E279"/>
      <c r="F279"/>
      <c r="G279"/>
      <c r="H279"/>
    </row>
    <row r="280" spans="2:8" x14ac:dyDescent="0.25">
      <c r="B280" s="184"/>
      <c r="C280" s="184" t="s">
        <v>209</v>
      </c>
      <c r="D280" s="223">
        <v>44154.12</v>
      </c>
      <c r="E280"/>
      <c r="F280"/>
      <c r="G280"/>
      <c r="H280"/>
    </row>
    <row r="281" spans="2:8" x14ac:dyDescent="0.25">
      <c r="B281" s="184"/>
      <c r="C281" s="184" t="s">
        <v>226</v>
      </c>
      <c r="D281" s="223">
        <v>0</v>
      </c>
      <c r="E281"/>
      <c r="F281"/>
      <c r="G281"/>
      <c r="H281"/>
    </row>
    <row r="282" spans="2:8" x14ac:dyDescent="0.25">
      <c r="B282" s="184"/>
      <c r="C282" s="184" t="s">
        <v>211</v>
      </c>
      <c r="D282" s="223">
        <v>33572.51</v>
      </c>
      <c r="E282"/>
      <c r="F282"/>
      <c r="G282"/>
      <c r="H282"/>
    </row>
    <row r="283" spans="2:8" x14ac:dyDescent="0.25">
      <c r="B283" s="184"/>
      <c r="C283" s="184" t="s">
        <v>212</v>
      </c>
      <c r="D283" s="223">
        <v>0</v>
      </c>
      <c r="E283"/>
      <c r="F283"/>
      <c r="G283"/>
      <c r="H283"/>
    </row>
    <row r="284" spans="2:8" x14ac:dyDescent="0.25">
      <c r="B284" s="184"/>
      <c r="C284" s="224" t="s">
        <v>216</v>
      </c>
      <c r="D284" s="223"/>
      <c r="E284"/>
      <c r="F284"/>
      <c r="G284"/>
      <c r="H284"/>
    </row>
    <row r="285" spans="2:8" x14ac:dyDescent="0.25">
      <c r="B285" s="184"/>
      <c r="C285" s="184"/>
      <c r="D285" s="216"/>
      <c r="E285"/>
      <c r="F285"/>
      <c r="G285"/>
      <c r="H285"/>
    </row>
    <row r="286" spans="2:8" ht="13.8" thickBot="1" x14ac:dyDescent="0.3">
      <c r="B286" s="184"/>
      <c r="C286" s="227" t="s">
        <v>262</v>
      </c>
      <c r="D286" s="251">
        <f>SUM(D271:D285)</f>
        <v>1294133.6000000001</v>
      </c>
      <c r="E286"/>
      <c r="F286"/>
      <c r="G286"/>
      <c r="H286"/>
    </row>
    <row r="287" spans="2:8" ht="13.8" thickTop="1" x14ac:dyDescent="0.25">
      <c r="B287" s="184"/>
      <c r="C287" s="184"/>
      <c r="D287" s="216"/>
      <c r="E287"/>
      <c r="F287"/>
      <c r="G287"/>
      <c r="H287"/>
    </row>
    <row r="288" spans="2:8" x14ac:dyDescent="0.25">
      <c r="B288" s="224" t="s">
        <v>263</v>
      </c>
      <c r="C288" s="184"/>
      <c r="D288" s="216"/>
      <c r="E288"/>
      <c r="F288"/>
      <c r="G288"/>
      <c r="H288"/>
    </row>
    <row r="289" spans="2:8" x14ac:dyDescent="0.25">
      <c r="B289" s="184"/>
      <c r="C289" s="184" t="s">
        <v>264</v>
      </c>
      <c r="D289" s="223">
        <v>0</v>
      </c>
      <c r="E289"/>
      <c r="F289"/>
      <c r="G289"/>
      <c r="H289"/>
    </row>
    <row r="290" spans="2:8" x14ac:dyDescent="0.25">
      <c r="B290" s="184"/>
      <c r="C290" s="184" t="s">
        <v>257</v>
      </c>
      <c r="D290" s="223">
        <v>0</v>
      </c>
      <c r="E290"/>
      <c r="F290"/>
      <c r="G290"/>
      <c r="H290"/>
    </row>
    <row r="291" spans="2:8" x14ac:dyDescent="0.25">
      <c r="B291" s="184"/>
      <c r="C291" s="184" t="s">
        <v>265</v>
      </c>
      <c r="D291" s="223">
        <v>0</v>
      </c>
      <c r="E291"/>
      <c r="F291"/>
      <c r="G291"/>
      <c r="H291"/>
    </row>
    <row r="292" spans="2:8" x14ac:dyDescent="0.25">
      <c r="B292" s="184"/>
      <c r="C292" s="224" t="s">
        <v>201</v>
      </c>
      <c r="D292" s="223"/>
      <c r="E292"/>
      <c r="F292"/>
      <c r="G292"/>
      <c r="H292"/>
    </row>
    <row r="293" spans="2:8" x14ac:dyDescent="0.25">
      <c r="B293" s="184"/>
      <c r="C293" s="184" t="s">
        <v>202</v>
      </c>
      <c r="D293" s="223">
        <v>0</v>
      </c>
      <c r="E293"/>
      <c r="F293"/>
      <c r="G293"/>
      <c r="H293"/>
    </row>
    <row r="294" spans="2:8" x14ac:dyDescent="0.25">
      <c r="B294" s="184"/>
      <c r="C294" s="184" t="s">
        <v>203</v>
      </c>
      <c r="D294" s="223">
        <v>89533.01</v>
      </c>
      <c r="E294"/>
      <c r="F294"/>
      <c r="G294"/>
      <c r="H294"/>
    </row>
    <row r="295" spans="2:8" x14ac:dyDescent="0.25">
      <c r="B295" s="184"/>
      <c r="C295" s="184" t="s">
        <v>204</v>
      </c>
      <c r="D295" s="223">
        <v>0</v>
      </c>
      <c r="E295"/>
      <c r="F295"/>
      <c r="G295"/>
      <c r="H295"/>
    </row>
    <row r="296" spans="2:8" x14ac:dyDescent="0.25">
      <c r="B296" s="184"/>
      <c r="C296" s="184" t="s">
        <v>205</v>
      </c>
      <c r="D296" s="223">
        <v>0</v>
      </c>
      <c r="E296"/>
      <c r="F296"/>
      <c r="G296"/>
      <c r="H296"/>
    </row>
    <row r="297" spans="2:8" x14ac:dyDescent="0.25">
      <c r="B297" s="184"/>
      <c r="C297" s="184" t="s">
        <v>206</v>
      </c>
      <c r="D297" s="223">
        <v>0</v>
      </c>
      <c r="E297"/>
      <c r="F297"/>
      <c r="G297"/>
      <c r="H297"/>
    </row>
    <row r="298" spans="2:8" x14ac:dyDescent="0.25">
      <c r="B298" s="184"/>
      <c r="C298" s="184" t="s">
        <v>207</v>
      </c>
      <c r="D298" s="223">
        <v>0</v>
      </c>
      <c r="E298"/>
      <c r="F298"/>
      <c r="G298"/>
      <c r="H298"/>
    </row>
    <row r="299" spans="2:8" x14ac:dyDescent="0.25">
      <c r="B299" s="184"/>
      <c r="C299" s="184" t="s">
        <v>208</v>
      </c>
      <c r="D299" s="223">
        <v>0</v>
      </c>
      <c r="E299"/>
      <c r="F299"/>
      <c r="G299"/>
      <c r="H299"/>
    </row>
    <row r="300" spans="2:8" x14ac:dyDescent="0.25">
      <c r="B300" s="184"/>
      <c r="C300" s="184" t="s">
        <v>209</v>
      </c>
      <c r="D300" s="223">
        <v>9878.9699999999993</v>
      </c>
      <c r="E300"/>
      <c r="F300"/>
      <c r="G300"/>
      <c r="H300"/>
    </row>
    <row r="301" spans="2:8" x14ac:dyDescent="0.25">
      <c r="B301" s="184"/>
      <c r="C301" s="184" t="s">
        <v>226</v>
      </c>
      <c r="D301" s="223">
        <v>0</v>
      </c>
      <c r="E301"/>
      <c r="F301"/>
      <c r="G301"/>
      <c r="H301"/>
    </row>
    <row r="302" spans="2:8" x14ac:dyDescent="0.25">
      <c r="B302" s="184"/>
      <c r="C302" s="184" t="s">
        <v>211</v>
      </c>
      <c r="D302" s="223">
        <v>0</v>
      </c>
      <c r="E302"/>
      <c r="F302"/>
      <c r="G302"/>
      <c r="H302"/>
    </row>
    <row r="303" spans="2:8" x14ac:dyDescent="0.25">
      <c r="B303" s="184"/>
      <c r="C303" s="184" t="s">
        <v>212</v>
      </c>
      <c r="D303" s="223">
        <v>0</v>
      </c>
      <c r="E303"/>
      <c r="F303"/>
      <c r="G303"/>
      <c r="H303"/>
    </row>
    <row r="304" spans="2:8" x14ac:dyDescent="0.25">
      <c r="B304" s="184"/>
      <c r="C304" s="224" t="s">
        <v>216</v>
      </c>
      <c r="D304" s="223"/>
      <c r="E304"/>
      <c r="F304"/>
      <c r="G304"/>
      <c r="H304"/>
    </row>
    <row r="305" spans="2:8" x14ac:dyDescent="0.25">
      <c r="B305" s="184"/>
      <c r="C305" s="184" t="s">
        <v>266</v>
      </c>
      <c r="D305" s="223">
        <v>0</v>
      </c>
      <c r="E305"/>
      <c r="F305"/>
      <c r="G305"/>
      <c r="H305"/>
    </row>
    <row r="306" spans="2:8" x14ac:dyDescent="0.25">
      <c r="B306" s="184"/>
      <c r="C306" s="184" t="s">
        <v>245</v>
      </c>
      <c r="D306" s="223">
        <v>0</v>
      </c>
      <c r="E306"/>
      <c r="F306"/>
      <c r="G306"/>
      <c r="H306"/>
    </row>
    <row r="307" spans="2:8" x14ac:dyDescent="0.25">
      <c r="B307" s="184"/>
      <c r="C307" s="184"/>
      <c r="D307" s="216"/>
      <c r="E307"/>
      <c r="F307"/>
      <c r="G307"/>
      <c r="H307"/>
    </row>
    <row r="308" spans="2:8" ht="13.8" thickBot="1" x14ac:dyDescent="0.3">
      <c r="B308" s="184"/>
      <c r="C308" s="227" t="s">
        <v>267</v>
      </c>
      <c r="D308" s="252">
        <f>SUM(D289:D307)</f>
        <v>99411.98</v>
      </c>
      <c r="E308"/>
      <c r="F308"/>
      <c r="G308"/>
      <c r="H308"/>
    </row>
    <row r="309" spans="2:8" ht="13.8" thickTop="1" x14ac:dyDescent="0.25">
      <c r="B309" s="184"/>
      <c r="C309" s="184"/>
      <c r="D309" s="216"/>
      <c r="E309"/>
      <c r="F309"/>
      <c r="G309"/>
      <c r="H309"/>
    </row>
    <row r="310" spans="2:8" x14ac:dyDescent="0.25">
      <c r="B310" s="224" t="s">
        <v>198</v>
      </c>
      <c r="C310" s="184"/>
      <c r="D310" s="216"/>
      <c r="E310"/>
      <c r="F310"/>
      <c r="G310"/>
      <c r="H310"/>
    </row>
    <row r="311" spans="2:8" hidden="1" x14ac:dyDescent="0.25">
      <c r="B311" s="184"/>
      <c r="C311" s="329" t="s">
        <v>268</v>
      </c>
      <c r="D311" s="232">
        <v>0</v>
      </c>
      <c r="E311"/>
      <c r="F311"/>
      <c r="G311"/>
      <c r="H311"/>
    </row>
    <row r="312" spans="2:8" hidden="1" x14ac:dyDescent="0.25">
      <c r="B312" s="184"/>
      <c r="C312" s="329" t="s">
        <v>269</v>
      </c>
      <c r="D312" s="232">
        <v>0</v>
      </c>
      <c r="E312"/>
      <c r="F312"/>
      <c r="G312"/>
      <c r="H312"/>
    </row>
    <row r="313" spans="2:8" hidden="1" x14ac:dyDescent="0.25">
      <c r="B313" s="184"/>
      <c r="C313" s="224" t="s">
        <v>201</v>
      </c>
      <c r="D313" s="216"/>
      <c r="E313"/>
      <c r="F313"/>
      <c r="G313"/>
      <c r="H313"/>
    </row>
    <row r="314" spans="2:8" hidden="1" x14ac:dyDescent="0.25">
      <c r="B314" s="184"/>
      <c r="C314" s="329" t="s">
        <v>202</v>
      </c>
      <c r="D314" s="223">
        <v>0</v>
      </c>
      <c r="E314"/>
      <c r="F314"/>
      <c r="G314"/>
      <c r="H314"/>
    </row>
    <row r="315" spans="2:8" x14ac:dyDescent="0.25">
      <c r="B315" s="184"/>
      <c r="C315" s="184" t="s">
        <v>203</v>
      </c>
      <c r="D315" s="223">
        <v>16004.89</v>
      </c>
      <c r="E315"/>
      <c r="F315"/>
      <c r="G315"/>
      <c r="H315"/>
    </row>
    <row r="316" spans="2:8" x14ac:dyDescent="0.25">
      <c r="B316" s="184"/>
      <c r="C316" s="184" t="s">
        <v>204</v>
      </c>
      <c r="D316" s="223">
        <v>0</v>
      </c>
      <c r="E316"/>
      <c r="F316"/>
      <c r="G316"/>
      <c r="H316"/>
    </row>
    <row r="317" spans="2:8" x14ac:dyDescent="0.25">
      <c r="B317" s="184"/>
      <c r="C317" s="184" t="s">
        <v>205</v>
      </c>
      <c r="D317" s="223">
        <v>0</v>
      </c>
      <c r="E317"/>
      <c r="F317"/>
      <c r="G317"/>
      <c r="H317"/>
    </row>
    <row r="318" spans="2:8" x14ac:dyDescent="0.25">
      <c r="B318" s="184"/>
      <c r="C318" s="184" t="s">
        <v>206</v>
      </c>
      <c r="D318" s="223">
        <v>0</v>
      </c>
      <c r="E318"/>
      <c r="F318"/>
      <c r="G318"/>
      <c r="H318"/>
    </row>
    <row r="319" spans="2:8" x14ac:dyDescent="0.25">
      <c r="B319" s="184"/>
      <c r="C319" s="184" t="s">
        <v>207</v>
      </c>
      <c r="D319" s="223">
        <v>0</v>
      </c>
      <c r="E319"/>
      <c r="F319"/>
      <c r="G319"/>
      <c r="H319"/>
    </row>
    <row r="320" spans="2:8" x14ac:dyDescent="0.25">
      <c r="B320" s="184"/>
      <c r="C320" s="184" t="s">
        <v>208</v>
      </c>
      <c r="D320" s="223">
        <v>0</v>
      </c>
      <c r="E320"/>
      <c r="F320"/>
      <c r="G320"/>
      <c r="H320"/>
    </row>
    <row r="321" spans="2:8" x14ac:dyDescent="0.25">
      <c r="B321" s="184"/>
      <c r="C321" s="184" t="s">
        <v>209</v>
      </c>
      <c r="D321" s="223">
        <v>0</v>
      </c>
      <c r="E321"/>
      <c r="F321"/>
      <c r="G321"/>
      <c r="H321"/>
    </row>
    <row r="322" spans="2:8" x14ac:dyDescent="0.25">
      <c r="B322" s="184"/>
      <c r="C322" s="184" t="s">
        <v>226</v>
      </c>
      <c r="D322" s="223">
        <v>0</v>
      </c>
      <c r="E322"/>
      <c r="F322"/>
      <c r="G322"/>
      <c r="H322"/>
    </row>
    <row r="323" spans="2:8" x14ac:dyDescent="0.25">
      <c r="B323" s="184"/>
      <c r="C323" s="184" t="s">
        <v>211</v>
      </c>
      <c r="D323" s="223">
        <v>0</v>
      </c>
      <c r="E323"/>
      <c r="F323"/>
      <c r="G323"/>
      <c r="H323"/>
    </row>
    <row r="324" spans="2:8" x14ac:dyDescent="0.25">
      <c r="B324" s="184"/>
      <c r="C324" s="184" t="s">
        <v>212</v>
      </c>
      <c r="D324" s="223">
        <v>0</v>
      </c>
      <c r="E324"/>
      <c r="F324"/>
      <c r="G324"/>
      <c r="H324"/>
    </row>
    <row r="325" spans="2:8" x14ac:dyDescent="0.25">
      <c r="B325" s="184"/>
      <c r="C325" s="224" t="s">
        <v>216</v>
      </c>
      <c r="D325" s="223"/>
      <c r="E325"/>
      <c r="F325"/>
      <c r="G325"/>
      <c r="H325"/>
    </row>
    <row r="326" spans="2:8" hidden="1" x14ac:dyDescent="0.25">
      <c r="B326" s="184"/>
      <c r="C326" s="329" t="s">
        <v>271</v>
      </c>
      <c r="D326" s="223">
        <v>0</v>
      </c>
      <c r="E326"/>
      <c r="F326"/>
      <c r="G326"/>
      <c r="H326"/>
    </row>
    <row r="327" spans="2:8" hidden="1" x14ac:dyDescent="0.25">
      <c r="B327" s="184"/>
      <c r="C327" s="329" t="s">
        <v>272</v>
      </c>
      <c r="D327" s="223">
        <v>0</v>
      </c>
      <c r="E327"/>
      <c r="F327"/>
      <c r="G327"/>
      <c r="H327"/>
    </row>
    <row r="328" spans="2:8" hidden="1" x14ac:dyDescent="0.25">
      <c r="B328" s="184"/>
      <c r="C328" s="329" t="s">
        <v>273</v>
      </c>
      <c r="D328" s="223">
        <v>0</v>
      </c>
      <c r="E328"/>
      <c r="F328"/>
      <c r="G328"/>
      <c r="H328"/>
    </row>
    <row r="329" spans="2:8" x14ac:dyDescent="0.25">
      <c r="B329" s="184"/>
      <c r="C329" s="184"/>
      <c r="D329" s="216"/>
      <c r="E329"/>
      <c r="F329"/>
      <c r="G329"/>
      <c r="H329"/>
    </row>
    <row r="330" spans="2:8" ht="13.8" thickBot="1" x14ac:dyDescent="0.3">
      <c r="B330" s="184"/>
      <c r="C330" s="227" t="s">
        <v>218</v>
      </c>
      <c r="D330" s="252">
        <f>SUM(D311:D329)</f>
        <v>16004.89</v>
      </c>
      <c r="E330"/>
      <c r="F330"/>
      <c r="G330"/>
      <c r="H330"/>
    </row>
    <row r="331" spans="2:8" ht="13.8" thickTop="1" x14ac:dyDescent="0.25">
      <c r="B331" s="184"/>
      <c r="C331" s="184"/>
      <c r="D331" s="232"/>
      <c r="E331"/>
      <c r="F331"/>
      <c r="G331"/>
      <c r="H331"/>
    </row>
    <row r="332" spans="2:8" x14ac:dyDescent="0.25">
      <c r="B332" s="224" t="s">
        <v>274</v>
      </c>
      <c r="C332" s="184"/>
      <c r="D332" s="216"/>
      <c r="E332"/>
      <c r="F332"/>
      <c r="G332"/>
      <c r="H332"/>
    </row>
    <row r="333" spans="2:8" x14ac:dyDescent="0.25">
      <c r="B333" s="184"/>
      <c r="C333" s="184" t="s">
        <v>268</v>
      </c>
      <c r="D333" s="232">
        <v>0</v>
      </c>
      <c r="E333"/>
      <c r="F333"/>
      <c r="G333"/>
      <c r="H333"/>
    </row>
    <row r="334" spans="2:8" x14ac:dyDescent="0.25">
      <c r="B334" s="184"/>
      <c r="C334" s="184" t="s">
        <v>275</v>
      </c>
      <c r="D334" s="232">
        <v>0</v>
      </c>
      <c r="E334"/>
      <c r="F334"/>
      <c r="G334"/>
      <c r="H334"/>
    </row>
    <row r="335" spans="2:8" x14ac:dyDescent="0.25">
      <c r="B335" s="184"/>
      <c r="C335" s="224" t="s">
        <v>201</v>
      </c>
      <c r="D335" s="216"/>
      <c r="E335"/>
      <c r="F335"/>
      <c r="G335"/>
      <c r="H335"/>
    </row>
    <row r="336" spans="2:8" hidden="1" x14ac:dyDescent="0.25">
      <c r="B336" s="184"/>
      <c r="C336" s="329" t="s">
        <v>202</v>
      </c>
      <c r="D336" s="223">
        <v>0</v>
      </c>
      <c r="E336"/>
      <c r="F336"/>
      <c r="G336"/>
      <c r="H336"/>
    </row>
    <row r="337" spans="2:8" x14ac:dyDescent="0.25">
      <c r="B337" s="184"/>
      <c r="C337" s="184" t="s">
        <v>203</v>
      </c>
      <c r="D337" s="223">
        <v>65342.71</v>
      </c>
      <c r="E337"/>
      <c r="F337"/>
      <c r="G337"/>
      <c r="H337"/>
    </row>
    <row r="338" spans="2:8" hidden="1" x14ac:dyDescent="0.25">
      <c r="B338" s="184"/>
      <c r="C338" s="329" t="s">
        <v>204</v>
      </c>
      <c r="D338" s="223">
        <v>0</v>
      </c>
      <c r="E338"/>
      <c r="F338"/>
      <c r="G338"/>
      <c r="H338"/>
    </row>
    <row r="339" spans="2:8" hidden="1" x14ac:dyDescent="0.25">
      <c r="B339" s="184"/>
      <c r="C339" s="329" t="s">
        <v>205</v>
      </c>
      <c r="D339" s="223">
        <v>0</v>
      </c>
      <c r="E339"/>
      <c r="F339"/>
      <c r="G339"/>
      <c r="H339"/>
    </row>
    <row r="340" spans="2:8" hidden="1" x14ac:dyDescent="0.25">
      <c r="B340" s="184"/>
      <c r="C340" s="329" t="s">
        <v>206</v>
      </c>
      <c r="D340" s="223">
        <v>0</v>
      </c>
      <c r="E340"/>
      <c r="F340"/>
      <c r="G340"/>
      <c r="H340"/>
    </row>
    <row r="341" spans="2:8" hidden="1" x14ac:dyDescent="0.25">
      <c r="B341" s="184"/>
      <c r="C341" s="329" t="s">
        <v>207</v>
      </c>
      <c r="D341" s="223">
        <v>0</v>
      </c>
      <c r="E341"/>
      <c r="F341"/>
      <c r="G341"/>
      <c r="H341"/>
    </row>
    <row r="342" spans="2:8" hidden="1" x14ac:dyDescent="0.25">
      <c r="B342" s="184"/>
      <c r="C342" s="329" t="s">
        <v>208</v>
      </c>
      <c r="D342" s="223">
        <v>0</v>
      </c>
      <c r="E342"/>
      <c r="F342"/>
      <c r="G342"/>
      <c r="H342"/>
    </row>
    <row r="343" spans="2:8" hidden="1" x14ac:dyDescent="0.25">
      <c r="B343" s="184"/>
      <c r="C343" s="329" t="s">
        <v>209</v>
      </c>
      <c r="D343" s="223">
        <v>0</v>
      </c>
      <c r="E343"/>
      <c r="F343"/>
      <c r="G343"/>
      <c r="H343"/>
    </row>
    <row r="344" spans="2:8" hidden="1" x14ac:dyDescent="0.25">
      <c r="B344" s="184"/>
      <c r="C344" s="329" t="s">
        <v>226</v>
      </c>
      <c r="D344" s="223">
        <v>0</v>
      </c>
      <c r="E344"/>
      <c r="F344"/>
      <c r="G344"/>
      <c r="H344"/>
    </row>
    <row r="345" spans="2:8" hidden="1" x14ac:dyDescent="0.25">
      <c r="B345" s="184"/>
      <c r="C345" s="329" t="s">
        <v>211</v>
      </c>
      <c r="D345" s="223">
        <v>0</v>
      </c>
      <c r="E345"/>
      <c r="F345"/>
      <c r="G345"/>
      <c r="H345"/>
    </row>
    <row r="346" spans="2:8" hidden="1" x14ac:dyDescent="0.25">
      <c r="B346" s="184"/>
      <c r="C346" s="329" t="s">
        <v>212</v>
      </c>
      <c r="D346" s="223">
        <v>0</v>
      </c>
      <c r="E346"/>
      <c r="F346"/>
      <c r="G346"/>
      <c r="H346"/>
    </row>
    <row r="347" spans="2:8" x14ac:dyDescent="0.25">
      <c r="B347" s="184"/>
      <c r="C347" s="224" t="s">
        <v>216</v>
      </c>
      <c r="D347" s="223"/>
      <c r="E347"/>
      <c r="F347"/>
      <c r="G347"/>
      <c r="H347"/>
    </row>
    <row r="348" spans="2:8" x14ac:dyDescent="0.25">
      <c r="B348" s="184"/>
      <c r="C348" s="184" t="s">
        <v>276</v>
      </c>
      <c r="D348" s="223">
        <v>0</v>
      </c>
      <c r="E348"/>
      <c r="F348"/>
      <c r="G348"/>
      <c r="H348"/>
    </row>
    <row r="349" spans="2:8" x14ac:dyDescent="0.25">
      <c r="B349" s="184"/>
      <c r="C349" s="184"/>
      <c r="D349" s="216"/>
      <c r="E349"/>
      <c r="F349"/>
      <c r="G349"/>
      <c r="H349"/>
    </row>
    <row r="350" spans="2:8" ht="13.8" thickBot="1" x14ac:dyDescent="0.3">
      <c r="B350" s="184"/>
      <c r="C350" s="227" t="s">
        <v>277</v>
      </c>
      <c r="D350" s="228">
        <f>SUM(D333:D349)</f>
        <v>65342.71</v>
      </c>
      <c r="E350"/>
      <c r="F350"/>
      <c r="G350"/>
      <c r="H350"/>
    </row>
    <row r="351" spans="2:8" ht="13.8" thickTop="1" x14ac:dyDescent="0.25">
      <c r="B351" s="184"/>
      <c r="C351" s="224"/>
      <c r="D351" s="225"/>
      <c r="E351"/>
      <c r="F351"/>
      <c r="G351"/>
      <c r="H351"/>
    </row>
    <row r="352" spans="2:8" x14ac:dyDescent="0.25">
      <c r="B352" s="224" t="s">
        <v>278</v>
      </c>
      <c r="C352" s="184"/>
      <c r="D352" s="216"/>
      <c r="E352"/>
      <c r="F352"/>
      <c r="G352"/>
      <c r="H352"/>
    </row>
    <row r="353" spans="2:8" x14ac:dyDescent="0.25">
      <c r="B353" s="184"/>
      <c r="C353" s="184" t="s">
        <v>279</v>
      </c>
      <c r="D353" s="232">
        <v>0</v>
      </c>
      <c r="E353"/>
      <c r="F353"/>
      <c r="G353"/>
      <c r="H353"/>
    </row>
    <row r="354" spans="2:8" x14ac:dyDescent="0.25">
      <c r="B354" s="184"/>
      <c r="C354" s="184" t="s">
        <v>280</v>
      </c>
      <c r="D354" s="232">
        <v>0</v>
      </c>
      <c r="E354"/>
      <c r="F354"/>
      <c r="G354"/>
      <c r="H354"/>
    </row>
    <row r="355" spans="2:8" x14ac:dyDescent="0.25">
      <c r="B355" s="184"/>
      <c r="C355" s="184" t="s">
        <v>275</v>
      </c>
      <c r="D355" s="232">
        <v>0</v>
      </c>
      <c r="E355"/>
      <c r="F355"/>
      <c r="G355"/>
      <c r="H355"/>
    </row>
    <row r="356" spans="2:8" x14ac:dyDescent="0.25">
      <c r="B356" s="184"/>
      <c r="C356" s="224" t="s">
        <v>201</v>
      </c>
      <c r="D356" s="216"/>
      <c r="E356"/>
      <c r="F356"/>
      <c r="G356"/>
      <c r="H356"/>
    </row>
    <row r="357" spans="2:8" x14ac:dyDescent="0.25">
      <c r="B357" s="184"/>
      <c r="C357" s="184" t="s">
        <v>202</v>
      </c>
      <c r="D357" s="223">
        <v>0</v>
      </c>
      <c r="E357"/>
      <c r="F357"/>
      <c r="G357"/>
      <c r="H357"/>
    </row>
    <row r="358" spans="2:8" x14ac:dyDescent="0.25">
      <c r="B358" s="184"/>
      <c r="C358" s="184" t="s">
        <v>203</v>
      </c>
      <c r="D358" s="223">
        <v>87837.97</v>
      </c>
      <c r="E358"/>
      <c r="F358"/>
      <c r="G358"/>
      <c r="H358"/>
    </row>
    <row r="359" spans="2:8" x14ac:dyDescent="0.25">
      <c r="B359" s="184"/>
      <c r="C359" s="184" t="s">
        <v>204</v>
      </c>
      <c r="D359" s="223">
        <v>0</v>
      </c>
      <c r="E359"/>
      <c r="F359"/>
      <c r="G359"/>
      <c r="H359"/>
    </row>
    <row r="360" spans="2:8" x14ac:dyDescent="0.25">
      <c r="B360" s="184"/>
      <c r="C360" s="184" t="s">
        <v>205</v>
      </c>
      <c r="D360" s="223">
        <v>0</v>
      </c>
      <c r="E360"/>
      <c r="F360"/>
      <c r="G360"/>
      <c r="H360"/>
    </row>
    <row r="361" spans="2:8" x14ac:dyDescent="0.25">
      <c r="B361" s="184"/>
      <c r="C361" s="184" t="s">
        <v>206</v>
      </c>
      <c r="D361" s="223">
        <v>0</v>
      </c>
      <c r="E361"/>
      <c r="F361"/>
      <c r="G361"/>
      <c r="H361"/>
    </row>
    <row r="362" spans="2:8" x14ac:dyDescent="0.25">
      <c r="B362" s="184"/>
      <c r="C362" s="184" t="s">
        <v>207</v>
      </c>
      <c r="D362" s="223">
        <v>0</v>
      </c>
      <c r="E362"/>
      <c r="F362"/>
      <c r="G362"/>
      <c r="H362"/>
    </row>
    <row r="363" spans="2:8" x14ac:dyDescent="0.25">
      <c r="B363" s="184"/>
      <c r="C363" s="184" t="s">
        <v>208</v>
      </c>
      <c r="D363" s="223">
        <v>0</v>
      </c>
      <c r="E363"/>
      <c r="F363"/>
      <c r="G363"/>
      <c r="H363"/>
    </row>
    <row r="364" spans="2:8" x14ac:dyDescent="0.25">
      <c r="B364" s="184"/>
      <c r="C364" s="184" t="s">
        <v>209</v>
      </c>
      <c r="D364" s="223">
        <v>0</v>
      </c>
      <c r="E364"/>
      <c r="F364"/>
      <c r="G364"/>
      <c r="H364"/>
    </row>
    <row r="365" spans="2:8" x14ac:dyDescent="0.25">
      <c r="B365" s="184"/>
      <c r="C365" s="184" t="s">
        <v>226</v>
      </c>
      <c r="D365" s="223">
        <v>0</v>
      </c>
      <c r="E365"/>
      <c r="F365"/>
      <c r="G365"/>
      <c r="H365"/>
    </row>
    <row r="366" spans="2:8" x14ac:dyDescent="0.25">
      <c r="B366" s="184"/>
      <c r="C366" s="184" t="s">
        <v>211</v>
      </c>
      <c r="D366" s="223">
        <v>0</v>
      </c>
      <c r="E366"/>
      <c r="F366"/>
      <c r="G366"/>
      <c r="H366"/>
    </row>
    <row r="367" spans="2:8" x14ac:dyDescent="0.25">
      <c r="B367" s="184"/>
      <c r="C367" s="184" t="s">
        <v>212</v>
      </c>
      <c r="D367" s="223">
        <v>0</v>
      </c>
      <c r="E367"/>
      <c r="F367"/>
      <c r="G367"/>
      <c r="H367"/>
    </row>
    <row r="368" spans="2:8" x14ac:dyDescent="0.25">
      <c r="B368" s="184"/>
      <c r="C368" s="184"/>
      <c r="D368" s="216"/>
      <c r="E368"/>
      <c r="F368"/>
      <c r="G368"/>
      <c r="H368"/>
    </row>
    <row r="369" spans="2:8" ht="13.8" thickBot="1" x14ac:dyDescent="0.3">
      <c r="B369" s="184"/>
      <c r="C369" s="227" t="s">
        <v>281</v>
      </c>
      <c r="D369" s="252">
        <f>SUM(D353:D368)</f>
        <v>87837.97</v>
      </c>
      <c r="E369"/>
      <c r="F369"/>
      <c r="G369"/>
      <c r="H369"/>
    </row>
    <row r="370" spans="2:8" ht="13.8" thickTop="1" x14ac:dyDescent="0.25">
      <c r="B370" s="184"/>
      <c r="C370" s="224"/>
      <c r="D370" s="225"/>
      <c r="E370"/>
      <c r="F370"/>
      <c r="G370"/>
      <c r="H370"/>
    </row>
    <row r="371" spans="2:8" x14ac:dyDescent="0.25">
      <c r="B371" s="224" t="s">
        <v>282</v>
      </c>
      <c r="C371" s="184"/>
      <c r="D371" s="216"/>
      <c r="E371"/>
      <c r="F371"/>
      <c r="G371"/>
      <c r="H371"/>
    </row>
    <row r="372" spans="2:8" x14ac:dyDescent="0.25">
      <c r="B372" s="184"/>
      <c r="C372" s="184" t="s">
        <v>283</v>
      </c>
      <c r="D372" s="223">
        <v>0</v>
      </c>
      <c r="E372"/>
      <c r="F372"/>
      <c r="G372"/>
      <c r="H372"/>
    </row>
    <row r="373" spans="2:8" x14ac:dyDescent="0.25">
      <c r="B373" s="184"/>
      <c r="C373" s="224" t="s">
        <v>201</v>
      </c>
      <c r="D373" s="216"/>
      <c r="E373"/>
      <c r="F373"/>
      <c r="G373"/>
      <c r="H373"/>
    </row>
    <row r="374" spans="2:8" x14ac:dyDescent="0.25">
      <c r="B374" s="184"/>
      <c r="C374" s="184" t="s">
        <v>202</v>
      </c>
      <c r="D374" s="223">
        <v>0</v>
      </c>
      <c r="E374"/>
      <c r="F374"/>
      <c r="G374"/>
      <c r="H374"/>
    </row>
    <row r="375" spans="2:8" x14ac:dyDescent="0.25">
      <c r="B375" s="184"/>
      <c r="C375" s="184" t="s">
        <v>203</v>
      </c>
      <c r="D375" s="223">
        <v>11117.16</v>
      </c>
      <c r="E375"/>
      <c r="F375"/>
      <c r="G375"/>
      <c r="H375"/>
    </row>
    <row r="376" spans="2:8" x14ac:dyDescent="0.25">
      <c r="B376" s="184"/>
      <c r="C376" s="184" t="s">
        <v>204</v>
      </c>
      <c r="D376" s="222">
        <v>0</v>
      </c>
      <c r="E376"/>
      <c r="F376"/>
      <c r="G376"/>
      <c r="H376"/>
    </row>
    <row r="377" spans="2:8" x14ac:dyDescent="0.25">
      <c r="B377" s="184"/>
      <c r="C377" s="184" t="s">
        <v>205</v>
      </c>
      <c r="D377" s="222">
        <v>0</v>
      </c>
      <c r="E377"/>
      <c r="F377"/>
      <c r="G377"/>
      <c r="H377"/>
    </row>
    <row r="378" spans="2:8" x14ac:dyDescent="0.25">
      <c r="B378" s="184"/>
      <c r="C378" s="184" t="s">
        <v>206</v>
      </c>
      <c r="D378" s="222">
        <v>0</v>
      </c>
      <c r="E378"/>
      <c r="F378"/>
      <c r="G378"/>
      <c r="H378"/>
    </row>
    <row r="379" spans="2:8" x14ac:dyDescent="0.25">
      <c r="B379" s="184"/>
      <c r="C379" s="184" t="s">
        <v>207</v>
      </c>
      <c r="D379" s="222">
        <v>0</v>
      </c>
      <c r="E379"/>
      <c r="F379"/>
      <c r="G379"/>
      <c r="H379"/>
    </row>
    <row r="380" spans="2:8" x14ac:dyDescent="0.25">
      <c r="B380" s="184"/>
      <c r="C380" s="184" t="s">
        <v>208</v>
      </c>
      <c r="D380" s="222">
        <v>0</v>
      </c>
      <c r="E380"/>
      <c r="F380"/>
      <c r="G380"/>
      <c r="H380"/>
    </row>
    <row r="381" spans="2:8" x14ac:dyDescent="0.25">
      <c r="B381" s="184"/>
      <c r="C381" s="184" t="s">
        <v>209</v>
      </c>
      <c r="D381" s="222">
        <v>0</v>
      </c>
      <c r="E381"/>
      <c r="F381"/>
      <c r="G381"/>
      <c r="H381"/>
    </row>
    <row r="382" spans="2:8" x14ac:dyDescent="0.25">
      <c r="B382" s="184"/>
      <c r="C382" s="184" t="s">
        <v>226</v>
      </c>
      <c r="D382" s="222">
        <v>0</v>
      </c>
      <c r="E382"/>
      <c r="F382"/>
      <c r="G382"/>
      <c r="H382"/>
    </row>
    <row r="383" spans="2:8" x14ac:dyDescent="0.25">
      <c r="B383" s="184"/>
      <c r="C383" s="184" t="s">
        <v>211</v>
      </c>
      <c r="D383" s="222">
        <v>0</v>
      </c>
      <c r="E383"/>
      <c r="F383"/>
      <c r="G383"/>
      <c r="H383"/>
    </row>
    <row r="384" spans="2:8" x14ac:dyDescent="0.25">
      <c r="B384" s="184"/>
      <c r="C384" s="184" t="s">
        <v>212</v>
      </c>
      <c r="D384" s="222">
        <v>0</v>
      </c>
      <c r="E384"/>
      <c r="F384"/>
      <c r="G384"/>
      <c r="H384"/>
    </row>
    <row r="385" spans="2:8" x14ac:dyDescent="0.25">
      <c r="B385" s="184"/>
      <c r="C385" s="224" t="s">
        <v>216</v>
      </c>
      <c r="D385" s="222"/>
      <c r="E385"/>
      <c r="F385"/>
      <c r="G385"/>
      <c r="H385"/>
    </row>
    <row r="386" spans="2:8" x14ac:dyDescent="0.25">
      <c r="B386" s="184"/>
      <c r="C386" s="184" t="s">
        <v>284</v>
      </c>
      <c r="D386" s="222">
        <v>0</v>
      </c>
      <c r="E386"/>
      <c r="F386"/>
      <c r="G386"/>
      <c r="H386"/>
    </row>
    <row r="387" spans="2:8" x14ac:dyDescent="0.25">
      <c r="B387" s="184"/>
      <c r="C387" s="184" t="s">
        <v>285</v>
      </c>
      <c r="D387" s="222">
        <v>0</v>
      </c>
      <c r="E387"/>
      <c r="F387"/>
      <c r="G387"/>
      <c r="H387"/>
    </row>
    <row r="388" spans="2:8" x14ac:dyDescent="0.25">
      <c r="B388" s="184"/>
      <c r="C388" s="184" t="s">
        <v>286</v>
      </c>
      <c r="D388" s="222">
        <v>0</v>
      </c>
      <c r="E388"/>
      <c r="F388"/>
      <c r="G388"/>
      <c r="H388"/>
    </row>
    <row r="389" spans="2:8" x14ac:dyDescent="0.25">
      <c r="B389" s="184"/>
      <c r="C389" s="184" t="s">
        <v>287</v>
      </c>
      <c r="D389" s="222">
        <v>0</v>
      </c>
      <c r="E389"/>
      <c r="F389"/>
      <c r="G389"/>
      <c r="H389"/>
    </row>
    <row r="390" spans="2:8" x14ac:dyDescent="0.25">
      <c r="B390" s="184"/>
      <c r="C390" s="184" t="s">
        <v>288</v>
      </c>
      <c r="D390" s="222">
        <v>0</v>
      </c>
      <c r="E390"/>
      <c r="F390"/>
      <c r="G390"/>
      <c r="H390"/>
    </row>
    <row r="391" spans="2:8" x14ac:dyDescent="0.25">
      <c r="B391" s="184"/>
      <c r="C391" s="184"/>
      <c r="D391" s="216"/>
      <c r="E391"/>
      <c r="F391"/>
      <c r="G391"/>
      <c r="H391"/>
    </row>
    <row r="392" spans="2:8" ht="13.8" thickBot="1" x14ac:dyDescent="0.3">
      <c r="B392" s="184"/>
      <c r="C392" s="227" t="s">
        <v>289</v>
      </c>
      <c r="D392" s="252">
        <f>SUM(D375:D390)</f>
        <v>11117.16</v>
      </c>
      <c r="E392"/>
      <c r="F392"/>
      <c r="G392"/>
      <c r="H392"/>
    </row>
    <row r="393" spans="2:8" ht="13.8" thickTop="1" x14ac:dyDescent="0.25">
      <c r="B393" s="184"/>
      <c r="C393" s="184"/>
      <c r="D393" s="225"/>
      <c r="E393"/>
      <c r="F393"/>
      <c r="G393"/>
      <c r="H393"/>
    </row>
    <row r="394" spans="2:8" x14ac:dyDescent="0.25">
      <c r="B394" s="224" t="s">
        <v>290</v>
      </c>
      <c r="C394" s="184"/>
      <c r="D394" s="216"/>
      <c r="E394"/>
      <c r="F394"/>
      <c r="G394"/>
      <c r="H394"/>
    </row>
    <row r="395" spans="2:8" hidden="1" x14ac:dyDescent="0.25">
      <c r="B395" s="184"/>
      <c r="C395" s="329" t="s">
        <v>291</v>
      </c>
      <c r="D395" s="223">
        <v>0</v>
      </c>
      <c r="E395"/>
      <c r="F395"/>
      <c r="G395"/>
      <c r="H395"/>
    </row>
    <row r="396" spans="2:8" x14ac:dyDescent="0.25">
      <c r="B396" s="184"/>
      <c r="C396" s="224" t="s">
        <v>201</v>
      </c>
      <c r="D396" s="216"/>
      <c r="E396"/>
      <c r="F396"/>
      <c r="G396"/>
      <c r="H396"/>
    </row>
    <row r="397" spans="2:8" hidden="1" x14ac:dyDescent="0.25">
      <c r="B397" s="184"/>
      <c r="C397" s="329" t="s">
        <v>202</v>
      </c>
      <c r="D397" s="223">
        <v>0</v>
      </c>
      <c r="E397"/>
      <c r="F397"/>
      <c r="G397"/>
      <c r="H397"/>
    </row>
    <row r="398" spans="2:8" x14ac:dyDescent="0.25">
      <c r="B398" s="184"/>
      <c r="C398" s="184" t="s">
        <v>203</v>
      </c>
      <c r="D398" s="223">
        <v>14969.81</v>
      </c>
      <c r="E398"/>
      <c r="F398"/>
      <c r="G398"/>
      <c r="H398"/>
    </row>
    <row r="399" spans="2:8" ht="12.6" hidden="1" customHeight="1" x14ac:dyDescent="0.25">
      <c r="B399" s="184"/>
      <c r="C399" s="329" t="s">
        <v>204</v>
      </c>
      <c r="D399" s="223">
        <v>0</v>
      </c>
      <c r="E399"/>
      <c r="F399"/>
      <c r="G399"/>
      <c r="H399"/>
    </row>
    <row r="400" spans="2:8" hidden="1" x14ac:dyDescent="0.25">
      <c r="B400" s="184"/>
      <c r="C400" s="329" t="s">
        <v>205</v>
      </c>
      <c r="D400" s="223">
        <v>0</v>
      </c>
      <c r="E400"/>
      <c r="F400"/>
      <c r="G400"/>
      <c r="H400"/>
    </row>
    <row r="401" spans="2:8" hidden="1" x14ac:dyDescent="0.25">
      <c r="B401" s="184"/>
      <c r="C401" s="329" t="s">
        <v>206</v>
      </c>
      <c r="D401" s="223">
        <v>0</v>
      </c>
      <c r="E401"/>
      <c r="F401"/>
      <c r="G401"/>
      <c r="H401"/>
    </row>
    <row r="402" spans="2:8" hidden="1" x14ac:dyDescent="0.25">
      <c r="B402" s="184"/>
      <c r="C402" s="329" t="s">
        <v>207</v>
      </c>
      <c r="D402" s="223">
        <v>0</v>
      </c>
      <c r="E402"/>
      <c r="F402"/>
      <c r="G402"/>
      <c r="H402"/>
    </row>
    <row r="403" spans="2:8" hidden="1" x14ac:dyDescent="0.25">
      <c r="B403" s="184"/>
      <c r="C403" s="329" t="s">
        <v>208</v>
      </c>
      <c r="D403" s="223">
        <v>0</v>
      </c>
      <c r="E403"/>
      <c r="F403"/>
      <c r="G403"/>
      <c r="H403"/>
    </row>
    <row r="404" spans="2:8" hidden="1" x14ac:dyDescent="0.25">
      <c r="B404" s="184"/>
      <c r="C404" s="329" t="s">
        <v>209</v>
      </c>
      <c r="D404" s="223">
        <v>0</v>
      </c>
      <c r="E404"/>
      <c r="F404"/>
      <c r="G404"/>
      <c r="H404"/>
    </row>
    <row r="405" spans="2:8" hidden="1" x14ac:dyDescent="0.25">
      <c r="B405" s="184"/>
      <c r="C405" s="329" t="s">
        <v>226</v>
      </c>
      <c r="D405" s="223">
        <v>0</v>
      </c>
      <c r="E405"/>
      <c r="F405"/>
      <c r="G405"/>
      <c r="H405"/>
    </row>
    <row r="406" spans="2:8" hidden="1" x14ac:dyDescent="0.25">
      <c r="B406" s="184"/>
      <c r="C406" s="329" t="s">
        <v>211</v>
      </c>
      <c r="D406" s="223">
        <v>0</v>
      </c>
      <c r="E406"/>
      <c r="F406"/>
      <c r="G406"/>
      <c r="H406"/>
    </row>
    <row r="407" spans="2:8" hidden="1" x14ac:dyDescent="0.25">
      <c r="B407" s="184"/>
      <c r="C407" s="329" t="s">
        <v>212</v>
      </c>
      <c r="D407" s="223">
        <v>0</v>
      </c>
      <c r="E407"/>
      <c r="F407"/>
      <c r="G407"/>
      <c r="H407"/>
    </row>
    <row r="408" spans="2:8" hidden="1" x14ac:dyDescent="0.25">
      <c r="B408" s="184"/>
      <c r="C408" s="330" t="s">
        <v>216</v>
      </c>
      <c r="D408" s="223"/>
      <c r="E408"/>
      <c r="F408"/>
      <c r="G408"/>
      <c r="H408"/>
    </row>
    <row r="409" spans="2:8" hidden="1" x14ac:dyDescent="0.25">
      <c r="B409" s="184"/>
      <c r="C409" s="329" t="s">
        <v>292</v>
      </c>
      <c r="D409" s="223">
        <v>0</v>
      </c>
      <c r="E409"/>
      <c r="F409"/>
      <c r="G409"/>
      <c r="H409"/>
    </row>
    <row r="410" spans="2:8" hidden="1" x14ac:dyDescent="0.25">
      <c r="B410" s="184"/>
      <c r="C410" s="329" t="s">
        <v>293</v>
      </c>
      <c r="D410" s="223">
        <v>0</v>
      </c>
      <c r="E410"/>
      <c r="F410"/>
      <c r="G410"/>
      <c r="H410"/>
    </row>
    <row r="411" spans="2:8" hidden="1" x14ac:dyDescent="0.25">
      <c r="B411" s="184"/>
      <c r="C411" s="329" t="s">
        <v>294</v>
      </c>
      <c r="D411" s="223">
        <v>0</v>
      </c>
      <c r="E411"/>
      <c r="F411"/>
      <c r="G411"/>
      <c r="H411"/>
    </row>
    <row r="412" spans="2:8" x14ac:dyDescent="0.25">
      <c r="B412" s="184"/>
      <c r="C412" s="224"/>
      <c r="D412" s="216"/>
      <c r="E412"/>
      <c r="F412"/>
      <c r="G412"/>
      <c r="H412"/>
    </row>
    <row r="413" spans="2:8" ht="13.8" thickBot="1" x14ac:dyDescent="0.3">
      <c r="B413" s="184"/>
      <c r="C413" s="227" t="s">
        <v>295</v>
      </c>
      <c r="D413" s="252">
        <f>SUM(D395:D411)</f>
        <v>14969.81</v>
      </c>
      <c r="E413"/>
      <c r="F413"/>
      <c r="G413"/>
      <c r="H413"/>
    </row>
    <row r="414" spans="2:8" ht="13.8" thickTop="1" x14ac:dyDescent="0.25">
      <c r="B414" s="184"/>
      <c r="C414" s="224"/>
      <c r="D414" s="216"/>
      <c r="E414"/>
      <c r="F414"/>
      <c r="G414"/>
      <c r="H414"/>
    </row>
    <row r="415" spans="2:8" x14ac:dyDescent="0.25">
      <c r="B415" s="224" t="s">
        <v>296</v>
      </c>
      <c r="C415" s="184"/>
      <c r="D415" s="217"/>
      <c r="E415"/>
      <c r="F415"/>
      <c r="G415"/>
      <c r="H415"/>
    </row>
    <row r="416" spans="2:8" hidden="1" x14ac:dyDescent="0.25">
      <c r="B416" s="224"/>
      <c r="C416" s="329" t="s">
        <v>297</v>
      </c>
      <c r="D416" s="223">
        <v>0</v>
      </c>
      <c r="E416"/>
      <c r="F416"/>
      <c r="G416"/>
      <c r="H416"/>
    </row>
    <row r="417" spans="2:8" hidden="1" x14ac:dyDescent="0.25">
      <c r="B417" s="224"/>
      <c r="C417" s="329" t="s">
        <v>298</v>
      </c>
      <c r="D417" s="223">
        <v>0</v>
      </c>
      <c r="E417"/>
      <c r="F417"/>
      <c r="G417"/>
      <c r="H417"/>
    </row>
    <row r="418" spans="2:8" hidden="1" x14ac:dyDescent="0.25">
      <c r="B418" s="224"/>
      <c r="C418" s="330" t="s">
        <v>201</v>
      </c>
      <c r="D418" s="226"/>
      <c r="E418"/>
      <c r="F418"/>
      <c r="G418"/>
      <c r="H418"/>
    </row>
    <row r="419" spans="2:8" hidden="1" x14ac:dyDescent="0.25">
      <c r="B419" s="224"/>
      <c r="C419" s="329" t="s">
        <v>202</v>
      </c>
      <c r="D419" s="226">
        <v>0</v>
      </c>
      <c r="E419"/>
      <c r="F419"/>
      <c r="G419"/>
      <c r="H419"/>
    </row>
    <row r="420" spans="2:8" x14ac:dyDescent="0.25">
      <c r="B420" s="224"/>
      <c r="C420" s="184" t="s">
        <v>203</v>
      </c>
      <c r="D420" s="226">
        <v>13859.1</v>
      </c>
      <c r="E420"/>
      <c r="F420"/>
      <c r="G420"/>
      <c r="H420"/>
    </row>
    <row r="421" spans="2:8" ht="16.8" hidden="1" customHeight="1" x14ac:dyDescent="0.25">
      <c r="B421" s="224"/>
      <c r="C421" s="329" t="s">
        <v>299</v>
      </c>
      <c r="D421" s="226">
        <v>0</v>
      </c>
      <c r="E421"/>
      <c r="F421"/>
      <c r="G421"/>
      <c r="H421"/>
    </row>
    <row r="422" spans="2:8" hidden="1" x14ac:dyDescent="0.25">
      <c r="B422" s="224"/>
      <c r="C422" s="329" t="s">
        <v>204</v>
      </c>
      <c r="D422" s="223">
        <v>0</v>
      </c>
      <c r="E422"/>
      <c r="F422"/>
      <c r="G422"/>
      <c r="H422"/>
    </row>
    <row r="423" spans="2:8" hidden="1" x14ac:dyDescent="0.25">
      <c r="B423" s="224"/>
      <c r="C423" s="329" t="s">
        <v>205</v>
      </c>
      <c r="D423" s="223">
        <v>0</v>
      </c>
      <c r="E423"/>
      <c r="F423"/>
      <c r="G423"/>
      <c r="H423"/>
    </row>
    <row r="424" spans="2:8" hidden="1" x14ac:dyDescent="0.25">
      <c r="B424" s="224"/>
      <c r="C424" s="329" t="s">
        <v>206</v>
      </c>
      <c r="D424" s="223">
        <v>0</v>
      </c>
      <c r="E424"/>
      <c r="F424"/>
      <c r="G424"/>
      <c r="H424"/>
    </row>
    <row r="425" spans="2:8" hidden="1" x14ac:dyDescent="0.25">
      <c r="B425" s="224"/>
      <c r="C425" s="329" t="s">
        <v>207</v>
      </c>
      <c r="D425" s="223">
        <v>0</v>
      </c>
      <c r="E425"/>
      <c r="F425"/>
      <c r="G425"/>
      <c r="H425"/>
    </row>
    <row r="426" spans="2:8" hidden="1" x14ac:dyDescent="0.25">
      <c r="B426" s="224"/>
      <c r="C426" s="329" t="s">
        <v>208</v>
      </c>
      <c r="D426" s="223">
        <v>0</v>
      </c>
      <c r="E426"/>
      <c r="F426"/>
      <c r="G426"/>
      <c r="H426"/>
    </row>
    <row r="427" spans="2:8" hidden="1" x14ac:dyDescent="0.25">
      <c r="B427" s="224"/>
      <c r="C427" s="329" t="s">
        <v>209</v>
      </c>
      <c r="D427" s="223">
        <v>0</v>
      </c>
      <c r="E427"/>
      <c r="F427"/>
      <c r="G427"/>
      <c r="H427"/>
    </row>
    <row r="428" spans="2:8" hidden="1" x14ac:dyDescent="0.25">
      <c r="B428" s="224"/>
      <c r="C428" s="329" t="s">
        <v>226</v>
      </c>
      <c r="D428" s="223">
        <v>0</v>
      </c>
      <c r="E428"/>
      <c r="F428"/>
      <c r="G428"/>
      <c r="H428"/>
    </row>
    <row r="429" spans="2:8" hidden="1" x14ac:dyDescent="0.25">
      <c r="B429" s="224"/>
      <c r="C429" s="329" t="s">
        <v>211</v>
      </c>
      <c r="D429" s="223">
        <v>0</v>
      </c>
      <c r="E429"/>
      <c r="F429"/>
      <c r="G429"/>
      <c r="H429"/>
    </row>
    <row r="430" spans="2:8" hidden="1" x14ac:dyDescent="0.25">
      <c r="B430" s="224"/>
      <c r="C430" s="329" t="s">
        <v>212</v>
      </c>
      <c r="D430" s="223">
        <v>0</v>
      </c>
      <c r="E430"/>
      <c r="F430"/>
      <c r="G430"/>
      <c r="H430"/>
    </row>
    <row r="431" spans="2:8" hidden="1" x14ac:dyDescent="0.25">
      <c r="B431" s="224"/>
      <c r="C431" s="330" t="s">
        <v>216</v>
      </c>
      <c r="D431" s="226"/>
      <c r="E431"/>
      <c r="F431"/>
      <c r="G431"/>
      <c r="H431"/>
    </row>
    <row r="432" spans="2:8" hidden="1" x14ac:dyDescent="0.25">
      <c r="B432" s="224"/>
      <c r="C432" s="329" t="s">
        <v>300</v>
      </c>
      <c r="D432" s="226">
        <v>0</v>
      </c>
      <c r="E432"/>
      <c r="F432"/>
      <c r="G432"/>
      <c r="H432"/>
    </row>
    <row r="433" spans="2:8" hidden="1" x14ac:dyDescent="0.25">
      <c r="B433" s="224"/>
      <c r="C433" s="329" t="s">
        <v>301</v>
      </c>
      <c r="D433" s="223">
        <v>0</v>
      </c>
      <c r="E433"/>
      <c r="F433"/>
      <c r="G433"/>
      <c r="H433"/>
    </row>
    <row r="434" spans="2:8" hidden="1" x14ac:dyDescent="0.25">
      <c r="B434" s="224"/>
      <c r="C434" s="331" t="s">
        <v>302</v>
      </c>
      <c r="D434" s="223">
        <v>0</v>
      </c>
      <c r="E434"/>
      <c r="F434"/>
      <c r="G434"/>
      <c r="H434"/>
    </row>
    <row r="435" spans="2:8" hidden="1" x14ac:dyDescent="0.25">
      <c r="B435" s="224"/>
      <c r="C435" s="331" t="s">
        <v>303</v>
      </c>
      <c r="D435" s="223">
        <v>0</v>
      </c>
      <c r="E435"/>
      <c r="F435"/>
      <c r="G435"/>
      <c r="H435"/>
    </row>
    <row r="436" spans="2:8" hidden="1" x14ac:dyDescent="0.25">
      <c r="B436" s="224"/>
      <c r="C436" s="332" t="s">
        <v>304</v>
      </c>
      <c r="D436" s="223">
        <v>0</v>
      </c>
      <c r="E436"/>
      <c r="F436"/>
      <c r="G436"/>
      <c r="H436"/>
    </row>
    <row r="437" spans="2:8" hidden="1" x14ac:dyDescent="0.25">
      <c r="B437" s="224"/>
      <c r="C437" s="331" t="s">
        <v>305</v>
      </c>
      <c r="D437" s="223">
        <v>0</v>
      </c>
      <c r="E437"/>
      <c r="F437"/>
      <c r="G437"/>
      <c r="H437"/>
    </row>
    <row r="438" spans="2:8" x14ac:dyDescent="0.25">
      <c r="B438" s="184"/>
      <c r="C438" s="184"/>
      <c r="D438" s="216"/>
      <c r="E438"/>
      <c r="F438"/>
      <c r="G438"/>
      <c r="H438"/>
    </row>
    <row r="439" spans="2:8" ht="13.8" thickBot="1" x14ac:dyDescent="0.3">
      <c r="B439" s="184"/>
      <c r="C439" s="227" t="s">
        <v>306</v>
      </c>
      <c r="D439" s="252">
        <f>SUM(D416:D438)</f>
        <v>13859.1</v>
      </c>
      <c r="E439"/>
      <c r="F439"/>
      <c r="G439"/>
      <c r="H439"/>
    </row>
    <row r="440" spans="2:8" ht="13.8" thickTop="1" x14ac:dyDescent="0.25">
      <c r="B440" s="184"/>
      <c r="C440" s="224"/>
      <c r="D440" s="225"/>
      <c r="E440"/>
      <c r="F440"/>
      <c r="G440"/>
      <c r="H440"/>
    </row>
    <row r="441" spans="2:8" x14ac:dyDescent="0.25">
      <c r="B441" s="184"/>
      <c r="C441" s="258" t="s">
        <v>307</v>
      </c>
      <c r="D441" s="259">
        <f>D173+D182+D201+D225+D248+D268+D286+D308+D330+D350+D369+D439+D413+D392+D154+D132</f>
        <v>37808912.000000007</v>
      </c>
      <c r="E441"/>
      <c r="F441"/>
      <c r="G441"/>
      <c r="H441"/>
    </row>
    <row r="442" spans="2:8" x14ac:dyDescent="0.25">
      <c r="B442" s="184"/>
      <c r="C442" s="256"/>
      <c r="D442" s="225"/>
      <c r="E442"/>
      <c r="F442"/>
      <c r="G442"/>
      <c r="H442"/>
    </row>
    <row r="443" spans="2:8" x14ac:dyDescent="0.25">
      <c r="B443" s="224" t="s">
        <v>309</v>
      </c>
      <c r="C443" s="184"/>
      <c r="D443" s="225"/>
      <c r="E443"/>
      <c r="F443"/>
      <c r="G443"/>
      <c r="H443"/>
    </row>
    <row r="444" spans="2:8" x14ac:dyDescent="0.25">
      <c r="B444" s="184"/>
      <c r="C444" s="256" t="s">
        <v>310</v>
      </c>
      <c r="D444" s="225">
        <v>0</v>
      </c>
      <c r="E444"/>
      <c r="F444"/>
      <c r="G444"/>
      <c r="H444"/>
    </row>
    <row r="445" spans="2:8" x14ac:dyDescent="0.25">
      <c r="B445" s="184"/>
      <c r="C445" s="256" t="s">
        <v>311</v>
      </c>
      <c r="D445" s="225">
        <v>0</v>
      </c>
      <c r="E445"/>
      <c r="F445"/>
      <c r="G445"/>
      <c r="H445"/>
    </row>
    <row r="446" spans="2:8" x14ac:dyDescent="0.25">
      <c r="B446" s="184"/>
      <c r="C446" s="256"/>
      <c r="D446" s="225"/>
      <c r="E446"/>
      <c r="F446"/>
      <c r="G446"/>
      <c r="H446"/>
    </row>
    <row r="447" spans="2:8" ht="13.8" thickBot="1" x14ac:dyDescent="0.3">
      <c r="B447" s="184"/>
      <c r="C447" s="260" t="s">
        <v>312</v>
      </c>
      <c r="D447" s="228">
        <f>SUM(D444:D446)</f>
        <v>0</v>
      </c>
      <c r="E447"/>
      <c r="F447"/>
      <c r="G447"/>
      <c r="H447"/>
    </row>
    <row r="448" spans="2:8" ht="13.8" thickTop="1" x14ac:dyDescent="0.25">
      <c r="B448" s="184"/>
      <c r="C448" s="261"/>
      <c r="D448" s="212"/>
      <c r="E448"/>
      <c r="F448"/>
      <c r="G448"/>
      <c r="H448"/>
    </row>
    <row r="449" spans="2:8" x14ac:dyDescent="0.25">
      <c r="B449" s="224" t="s">
        <v>314</v>
      </c>
      <c r="C449" s="184"/>
      <c r="D449" s="225"/>
      <c r="E449"/>
      <c r="F449"/>
      <c r="G449"/>
      <c r="H449"/>
    </row>
    <row r="450" spans="2:8" x14ac:dyDescent="0.25">
      <c r="B450" s="184"/>
      <c r="C450" s="256" t="s">
        <v>315</v>
      </c>
      <c r="D450" s="225">
        <v>0</v>
      </c>
      <c r="E450"/>
      <c r="F450"/>
      <c r="G450"/>
      <c r="H450"/>
    </row>
    <row r="451" spans="2:8" x14ac:dyDescent="0.25">
      <c r="B451" s="184"/>
      <c r="C451" s="256" t="s">
        <v>316</v>
      </c>
      <c r="D451" s="225">
        <v>0</v>
      </c>
      <c r="E451"/>
      <c r="F451"/>
      <c r="G451"/>
      <c r="H451"/>
    </row>
    <row r="452" spans="2:8" x14ac:dyDescent="0.25">
      <c r="B452" s="184"/>
      <c r="C452" s="256" t="s">
        <v>311</v>
      </c>
      <c r="D452" s="225">
        <v>0</v>
      </c>
      <c r="E452"/>
      <c r="F452"/>
      <c r="G452"/>
      <c r="H452"/>
    </row>
    <row r="453" spans="2:8" x14ac:dyDescent="0.25">
      <c r="B453" s="184"/>
      <c r="C453" s="256"/>
      <c r="D453" s="225"/>
      <c r="E453"/>
      <c r="F453"/>
      <c r="G453"/>
      <c r="H453"/>
    </row>
    <row r="454" spans="2:8" ht="13.8" thickBot="1" x14ac:dyDescent="0.3">
      <c r="B454" s="184"/>
      <c r="C454" s="260" t="s">
        <v>317</v>
      </c>
      <c r="D454" s="228">
        <f>SUM(D450:D453)</f>
        <v>0</v>
      </c>
      <c r="E454"/>
      <c r="F454"/>
      <c r="G454"/>
      <c r="H454"/>
    </row>
    <row r="455" spans="2:8" ht="13.8" thickTop="1" x14ac:dyDescent="0.25">
      <c r="B455" s="184"/>
      <c r="C455" s="256"/>
      <c r="D455" s="225"/>
      <c r="E455"/>
      <c r="F455"/>
      <c r="G455"/>
      <c r="H455"/>
    </row>
    <row r="456" spans="2:8" x14ac:dyDescent="0.25">
      <c r="B456" s="224" t="s">
        <v>318</v>
      </c>
      <c r="C456" s="184"/>
      <c r="D456" s="225"/>
      <c r="E456"/>
      <c r="F456"/>
      <c r="G456"/>
      <c r="H456"/>
    </row>
    <row r="457" spans="2:8" x14ac:dyDescent="0.25">
      <c r="B457" s="184"/>
      <c r="C457" s="256" t="s">
        <v>319</v>
      </c>
      <c r="D457" s="225">
        <v>285393.71999999997</v>
      </c>
      <c r="E457"/>
      <c r="F457"/>
      <c r="G457"/>
      <c r="H457"/>
    </row>
    <row r="458" spans="2:8" x14ac:dyDescent="0.25">
      <c r="B458" s="184"/>
      <c r="C458" s="256" t="s">
        <v>320</v>
      </c>
      <c r="D458" s="225">
        <v>288185.09000000003</v>
      </c>
      <c r="E458"/>
      <c r="F458"/>
      <c r="G458"/>
      <c r="H458"/>
    </row>
    <row r="459" spans="2:8" x14ac:dyDescent="0.25">
      <c r="B459" s="184"/>
      <c r="C459" s="256"/>
      <c r="D459" s="225"/>
      <c r="E459"/>
      <c r="F459"/>
      <c r="G459"/>
      <c r="H459"/>
    </row>
    <row r="460" spans="2:8" ht="13.8" thickBot="1" x14ac:dyDescent="0.3">
      <c r="B460" s="184"/>
      <c r="C460" s="260" t="s">
        <v>321</v>
      </c>
      <c r="D460" s="228">
        <f>SUM(D457:D459)</f>
        <v>573578.81000000006</v>
      </c>
      <c r="E460"/>
      <c r="F460"/>
      <c r="G460"/>
      <c r="H460"/>
    </row>
    <row r="461" spans="2:8" ht="13.8" thickTop="1" x14ac:dyDescent="0.25">
      <c r="B461" s="184"/>
      <c r="C461" s="256"/>
      <c r="D461" s="225"/>
      <c r="E461"/>
      <c r="F461"/>
      <c r="G461"/>
      <c r="H461"/>
    </row>
    <row r="462" spans="2:8" x14ac:dyDescent="0.25">
      <c r="B462" s="224" t="s">
        <v>322</v>
      </c>
      <c r="C462" s="184"/>
      <c r="D462" s="225"/>
      <c r="E462"/>
      <c r="F462"/>
      <c r="G462"/>
      <c r="H462"/>
    </row>
    <row r="463" spans="2:8" x14ac:dyDescent="0.25">
      <c r="B463" s="224"/>
      <c r="C463" s="184" t="s">
        <v>323</v>
      </c>
      <c r="D463" s="225">
        <v>0</v>
      </c>
      <c r="E463"/>
      <c r="F463"/>
      <c r="G463"/>
      <c r="H463"/>
    </row>
    <row r="464" spans="2:8" x14ac:dyDescent="0.25">
      <c r="B464" s="224"/>
      <c r="C464" s="184" t="s">
        <v>324</v>
      </c>
      <c r="D464" s="225">
        <v>0</v>
      </c>
      <c r="E464"/>
      <c r="F464"/>
      <c r="G464"/>
      <c r="H464"/>
    </row>
    <row r="465" spans="2:8" x14ac:dyDescent="0.25">
      <c r="B465" s="224"/>
      <c r="C465" s="184" t="s">
        <v>325</v>
      </c>
      <c r="D465" s="225">
        <v>1852361.7999999998</v>
      </c>
      <c r="E465"/>
      <c r="F465"/>
      <c r="G465"/>
      <c r="H465"/>
    </row>
    <row r="466" spans="2:8" x14ac:dyDescent="0.25">
      <c r="B466" s="184"/>
      <c r="C466" s="256"/>
      <c r="D466" s="225"/>
      <c r="E466"/>
      <c r="F466"/>
      <c r="G466"/>
      <c r="H466"/>
    </row>
    <row r="467" spans="2:8" ht="13.8" thickBot="1" x14ac:dyDescent="0.3">
      <c r="B467" s="184"/>
      <c r="C467" s="260" t="s">
        <v>326</v>
      </c>
      <c r="D467" s="228">
        <f>SUM(D463:D466)</f>
        <v>1852361.7999999998</v>
      </c>
      <c r="E467"/>
      <c r="F467"/>
      <c r="G467"/>
      <c r="H467"/>
    </row>
    <row r="468" spans="2:8" ht="13.8" thickTop="1" x14ac:dyDescent="0.25">
      <c r="B468" s="224"/>
      <c r="C468" s="184"/>
      <c r="D468" s="225"/>
      <c r="E468"/>
      <c r="F468"/>
      <c r="G468"/>
      <c r="H468"/>
    </row>
    <row r="469" spans="2:8" x14ac:dyDescent="0.25">
      <c r="B469" s="224" t="s">
        <v>327</v>
      </c>
      <c r="C469" s="184"/>
      <c r="D469" s="225"/>
      <c r="E469"/>
      <c r="F469"/>
      <c r="G469"/>
      <c r="H469"/>
    </row>
    <row r="470" spans="2:8" x14ac:dyDescent="0.25">
      <c r="B470" s="184"/>
      <c r="C470" s="256" t="s">
        <v>328</v>
      </c>
      <c r="D470" s="225">
        <v>24648776.460000008</v>
      </c>
      <c r="E470"/>
      <c r="F470"/>
      <c r="G470"/>
      <c r="H470"/>
    </row>
    <row r="471" spans="2:8" x14ac:dyDescent="0.25">
      <c r="B471" s="184"/>
      <c r="C471" s="256" t="s">
        <v>329</v>
      </c>
      <c r="D471" s="225">
        <v>15000000</v>
      </c>
      <c r="E471"/>
      <c r="F471"/>
      <c r="G471"/>
      <c r="H471"/>
    </row>
    <row r="472" spans="2:8" x14ac:dyDescent="0.25">
      <c r="B472" s="184"/>
      <c r="C472" s="256"/>
      <c r="D472" s="225"/>
      <c r="E472"/>
      <c r="F472"/>
      <c r="G472"/>
      <c r="H472"/>
    </row>
    <row r="473" spans="2:8" ht="13.8" thickBot="1" x14ac:dyDescent="0.3">
      <c r="B473" s="184"/>
      <c r="C473" s="260" t="s">
        <v>330</v>
      </c>
      <c r="D473" s="228">
        <f>SUM(D470:D472)</f>
        <v>39648776.460000008</v>
      </c>
      <c r="E473"/>
      <c r="F473"/>
      <c r="G473"/>
      <c r="H473"/>
    </row>
    <row r="474" spans="2:8" ht="13.8" thickTop="1" x14ac:dyDescent="0.25">
      <c r="B474" s="184"/>
      <c r="C474" s="256"/>
      <c r="D474" s="225"/>
      <c r="E474"/>
      <c r="F474"/>
      <c r="G474"/>
      <c r="H474"/>
    </row>
    <row r="475" spans="2:8" x14ac:dyDescent="0.25">
      <c r="B475" s="224" t="s">
        <v>331</v>
      </c>
      <c r="C475" s="184"/>
      <c r="D475" s="225"/>
      <c r="E475"/>
      <c r="F475"/>
      <c r="G475"/>
      <c r="H475"/>
    </row>
    <row r="476" spans="2:8" x14ac:dyDescent="0.25">
      <c r="B476" s="184"/>
      <c r="C476" s="256" t="s">
        <v>332</v>
      </c>
      <c r="D476" s="225">
        <v>4000000</v>
      </c>
      <c r="E476"/>
      <c r="F476"/>
      <c r="G476"/>
      <c r="H476"/>
    </row>
    <row r="477" spans="2:8" x14ac:dyDescent="0.25">
      <c r="B477" s="184"/>
      <c r="C477" s="256" t="s">
        <v>333</v>
      </c>
      <c r="D477" s="225">
        <v>467976.92</v>
      </c>
      <c r="E477"/>
      <c r="F477"/>
      <c r="G477"/>
      <c r="H477"/>
    </row>
    <row r="478" spans="2:8" x14ac:dyDescent="0.25">
      <c r="B478" s="184"/>
      <c r="C478" s="256" t="s">
        <v>334</v>
      </c>
      <c r="D478" s="225">
        <v>0</v>
      </c>
      <c r="E478"/>
      <c r="F478"/>
      <c r="G478"/>
      <c r="H478"/>
    </row>
    <row r="479" spans="2:8" x14ac:dyDescent="0.25">
      <c r="B479" s="184"/>
      <c r="C479" s="256" t="s">
        <v>335</v>
      </c>
      <c r="D479" s="225">
        <v>0</v>
      </c>
      <c r="E479"/>
      <c r="F479"/>
      <c r="G479"/>
      <c r="H479"/>
    </row>
    <row r="480" spans="2:8" x14ac:dyDescent="0.25">
      <c r="B480" s="184"/>
      <c r="C480" s="256" t="s">
        <v>316</v>
      </c>
      <c r="D480" s="225">
        <v>0</v>
      </c>
      <c r="E480"/>
      <c r="F480"/>
      <c r="G480"/>
      <c r="H480"/>
    </row>
    <row r="481" spans="2:8" x14ac:dyDescent="0.25">
      <c r="B481" s="184"/>
      <c r="C481" s="256"/>
      <c r="D481" s="225"/>
      <c r="E481"/>
      <c r="F481"/>
      <c r="G481"/>
      <c r="H481"/>
    </row>
    <row r="482" spans="2:8" ht="13.8" thickBot="1" x14ac:dyDescent="0.3">
      <c r="B482" s="184"/>
      <c r="C482" s="260" t="s">
        <v>336</v>
      </c>
      <c r="D482" s="228">
        <v>4467976.92</v>
      </c>
      <c r="E482"/>
      <c r="F482"/>
      <c r="G482"/>
      <c r="H482"/>
    </row>
    <row r="483" spans="2:8" ht="13.8" thickTop="1" x14ac:dyDescent="0.25">
      <c r="B483" s="184"/>
      <c r="C483" s="256"/>
      <c r="D483" s="225"/>
      <c r="E483"/>
      <c r="F483"/>
      <c r="G483"/>
      <c r="H483"/>
    </row>
    <row r="484" spans="2:8" x14ac:dyDescent="0.25">
      <c r="B484" s="224" t="s">
        <v>337</v>
      </c>
      <c r="C484" s="184"/>
      <c r="D484" s="225"/>
      <c r="E484"/>
      <c r="F484"/>
      <c r="G484"/>
      <c r="H484"/>
    </row>
    <row r="485" spans="2:8" x14ac:dyDescent="0.25">
      <c r="B485" s="184"/>
      <c r="C485" s="256" t="s">
        <v>338</v>
      </c>
      <c r="D485" s="225">
        <v>0</v>
      </c>
      <c r="E485"/>
      <c r="F485"/>
      <c r="G485"/>
      <c r="H485"/>
    </row>
    <row r="486" spans="2:8" x14ac:dyDescent="0.25">
      <c r="B486" s="184"/>
      <c r="C486" s="256" t="s">
        <v>339</v>
      </c>
      <c r="D486" s="225">
        <v>0</v>
      </c>
      <c r="E486"/>
      <c r="F486"/>
      <c r="G486"/>
      <c r="H486"/>
    </row>
    <row r="487" spans="2:8" x14ac:dyDescent="0.25">
      <c r="B487" s="184"/>
      <c r="C487" s="256"/>
      <c r="D487" s="225"/>
      <c r="E487"/>
      <c r="F487"/>
      <c r="G487"/>
      <c r="H487"/>
    </row>
    <row r="488" spans="2:8" ht="13.8" thickBot="1" x14ac:dyDescent="0.3">
      <c r="B488" s="184"/>
      <c r="C488" s="260" t="s">
        <v>340</v>
      </c>
      <c r="D488" s="228">
        <v>0</v>
      </c>
      <c r="E488"/>
      <c r="F488"/>
      <c r="G488"/>
      <c r="H488"/>
    </row>
    <row r="489" spans="2:8" ht="13.8" thickTop="1" x14ac:dyDescent="0.25">
      <c r="B489" s="184"/>
      <c r="C489" s="256"/>
      <c r="D489" s="225"/>
      <c r="E489"/>
      <c r="F489"/>
      <c r="G489"/>
      <c r="H489"/>
    </row>
    <row r="490" spans="2:8" x14ac:dyDescent="0.25">
      <c r="B490" s="224" t="s">
        <v>341</v>
      </c>
      <c r="C490" s="184"/>
      <c r="D490" s="226"/>
      <c r="E490"/>
      <c r="F490"/>
      <c r="G490"/>
      <c r="H490"/>
    </row>
    <row r="491" spans="2:8" x14ac:dyDescent="0.25">
      <c r="B491" s="184"/>
      <c r="C491" s="184" t="s">
        <v>342</v>
      </c>
      <c r="D491" s="226">
        <v>0</v>
      </c>
      <c r="E491"/>
      <c r="F491"/>
      <c r="G491"/>
      <c r="H491"/>
    </row>
    <row r="492" spans="2:8" x14ac:dyDescent="0.25">
      <c r="B492" s="184"/>
      <c r="C492" s="184" t="s">
        <v>332</v>
      </c>
      <c r="D492" s="226">
        <v>5671525.9100000001</v>
      </c>
      <c r="E492"/>
      <c r="F492"/>
      <c r="G492"/>
      <c r="H492"/>
    </row>
    <row r="493" spans="2:8" x14ac:dyDescent="0.25">
      <c r="B493" s="184"/>
      <c r="C493" s="184" t="s">
        <v>344</v>
      </c>
      <c r="D493" s="226">
        <v>0</v>
      </c>
      <c r="E493"/>
      <c r="F493"/>
      <c r="G493"/>
      <c r="H493"/>
    </row>
    <row r="494" spans="2:8" x14ac:dyDescent="0.25">
      <c r="B494" s="184"/>
      <c r="C494" s="184" t="s">
        <v>334</v>
      </c>
      <c r="D494" s="226">
        <v>0</v>
      </c>
      <c r="E494"/>
      <c r="F494"/>
      <c r="G494"/>
      <c r="H494"/>
    </row>
    <row r="495" spans="2:8" x14ac:dyDescent="0.25">
      <c r="B495" s="184"/>
      <c r="C495" s="184" t="s">
        <v>345</v>
      </c>
      <c r="D495" s="226">
        <v>0</v>
      </c>
      <c r="E495"/>
      <c r="F495"/>
      <c r="G495"/>
      <c r="H495"/>
    </row>
    <row r="496" spans="2:8" x14ac:dyDescent="0.25">
      <c r="B496" s="184"/>
      <c r="C496" s="184" t="s">
        <v>346</v>
      </c>
      <c r="D496" s="226">
        <v>90028.61</v>
      </c>
      <c r="E496"/>
      <c r="F496"/>
      <c r="G496"/>
      <c r="H496"/>
    </row>
    <row r="497" spans="2:8" x14ac:dyDescent="0.25">
      <c r="B497" s="184"/>
      <c r="C497" s="184" t="s">
        <v>335</v>
      </c>
      <c r="D497" s="226">
        <v>0</v>
      </c>
      <c r="E497"/>
      <c r="F497"/>
      <c r="G497"/>
      <c r="H497"/>
    </row>
    <row r="498" spans="2:8" x14ac:dyDescent="0.25">
      <c r="B498" s="184"/>
      <c r="C498" s="184" t="s">
        <v>316</v>
      </c>
      <c r="D498" s="226">
        <v>33104.050000000003</v>
      </c>
      <c r="E498"/>
      <c r="F498"/>
      <c r="G498"/>
      <c r="H498"/>
    </row>
    <row r="499" spans="2:8" x14ac:dyDescent="0.25">
      <c r="B499" s="184"/>
      <c r="C499" s="184"/>
      <c r="D499" s="226"/>
      <c r="E499"/>
      <c r="F499"/>
      <c r="G499"/>
      <c r="H499"/>
    </row>
    <row r="500" spans="2:8" ht="13.8" thickBot="1" x14ac:dyDescent="0.3">
      <c r="B500" s="184"/>
      <c r="C500" s="260" t="s">
        <v>347</v>
      </c>
      <c r="D500" s="228">
        <v>5794658.5700000003</v>
      </c>
      <c r="E500"/>
      <c r="F500"/>
      <c r="G500"/>
      <c r="H500"/>
    </row>
    <row r="501" spans="2:8" ht="13.8" thickTop="1" x14ac:dyDescent="0.25">
      <c r="B501" s="184"/>
      <c r="C501" s="184"/>
      <c r="D501" s="226"/>
      <c r="E501"/>
      <c r="F501"/>
      <c r="G501"/>
      <c r="H501"/>
    </row>
    <row r="502" spans="2:8" x14ac:dyDescent="0.25">
      <c r="B502" s="224" t="s">
        <v>348</v>
      </c>
      <c r="C502" s="184"/>
      <c r="D502" s="226"/>
      <c r="E502"/>
      <c r="F502"/>
      <c r="G502"/>
      <c r="H502"/>
    </row>
    <row r="503" spans="2:8" hidden="1" x14ac:dyDescent="0.25">
      <c r="B503" s="184"/>
      <c r="C503" s="329" t="s">
        <v>349</v>
      </c>
      <c r="D503" s="226">
        <v>0</v>
      </c>
      <c r="E503"/>
      <c r="F503"/>
      <c r="G503"/>
      <c r="H503"/>
    </row>
    <row r="504" spans="2:8" hidden="1" x14ac:dyDescent="0.25">
      <c r="B504" s="184"/>
      <c r="C504" s="329" t="s">
        <v>332</v>
      </c>
      <c r="D504" s="226">
        <v>0</v>
      </c>
      <c r="E504"/>
      <c r="F504"/>
      <c r="G504"/>
      <c r="H504"/>
    </row>
    <row r="505" spans="2:8" x14ac:dyDescent="0.25">
      <c r="B505" s="184"/>
      <c r="C505" s="184" t="s">
        <v>350</v>
      </c>
      <c r="D505" s="226">
        <v>0</v>
      </c>
      <c r="E505"/>
      <c r="F505"/>
      <c r="G505"/>
      <c r="H505"/>
    </row>
    <row r="506" spans="2:8" hidden="1" x14ac:dyDescent="0.25">
      <c r="B506" s="184"/>
      <c r="C506" s="329" t="s">
        <v>345</v>
      </c>
      <c r="D506" s="226">
        <v>0</v>
      </c>
      <c r="E506"/>
      <c r="F506"/>
      <c r="G506"/>
      <c r="H506"/>
    </row>
    <row r="507" spans="2:8" x14ac:dyDescent="0.25">
      <c r="B507" s="184"/>
      <c r="C507" s="184" t="s">
        <v>335</v>
      </c>
      <c r="D507" s="226">
        <v>0</v>
      </c>
      <c r="E507"/>
      <c r="F507"/>
      <c r="G507"/>
      <c r="H507"/>
    </row>
    <row r="508" spans="2:8" x14ac:dyDescent="0.25">
      <c r="B508" s="184"/>
      <c r="C508" s="184"/>
      <c r="D508" s="226"/>
      <c r="E508"/>
      <c r="F508"/>
      <c r="G508"/>
      <c r="H508"/>
    </row>
    <row r="509" spans="2:8" ht="13.8" thickBot="1" x14ac:dyDescent="0.3">
      <c r="B509" s="184"/>
      <c r="C509" s="260" t="s">
        <v>351</v>
      </c>
      <c r="D509" s="228">
        <f>SUM(D503:D508)</f>
        <v>0</v>
      </c>
      <c r="E509"/>
      <c r="F509"/>
      <c r="G509"/>
      <c r="H509"/>
    </row>
    <row r="510" spans="2:8" ht="13.8" thickTop="1" x14ac:dyDescent="0.25">
      <c r="B510" s="184"/>
      <c r="C510" s="184"/>
      <c r="D510" s="226"/>
      <c r="E510"/>
      <c r="F510"/>
      <c r="G510"/>
      <c r="H510"/>
    </row>
    <row r="511" spans="2:8" x14ac:dyDescent="0.25">
      <c r="B511" s="224" t="s">
        <v>352</v>
      </c>
      <c r="C511" s="184"/>
      <c r="D511" s="226"/>
      <c r="E511"/>
      <c r="F511"/>
      <c r="G511"/>
      <c r="H511"/>
    </row>
    <row r="512" spans="2:8" hidden="1" x14ac:dyDescent="0.25">
      <c r="B512" s="184"/>
      <c r="C512" s="329" t="s">
        <v>349</v>
      </c>
      <c r="D512" s="226">
        <v>0</v>
      </c>
      <c r="E512"/>
      <c r="F512"/>
      <c r="G512"/>
      <c r="H512"/>
    </row>
    <row r="513" spans="2:8" hidden="1" x14ac:dyDescent="0.25">
      <c r="B513" s="184"/>
      <c r="C513" s="329" t="s">
        <v>332</v>
      </c>
      <c r="D513" s="226">
        <v>0</v>
      </c>
      <c r="E513"/>
      <c r="F513"/>
      <c r="G513"/>
      <c r="H513"/>
    </row>
    <row r="514" spans="2:8" hidden="1" x14ac:dyDescent="0.25">
      <c r="B514" s="184"/>
      <c r="C514" s="329" t="s">
        <v>353</v>
      </c>
      <c r="D514" s="226">
        <v>0</v>
      </c>
      <c r="E514"/>
      <c r="F514"/>
      <c r="G514"/>
      <c r="H514"/>
    </row>
    <row r="515" spans="2:8" x14ac:dyDescent="0.25">
      <c r="B515" s="184"/>
      <c r="C515" s="184" t="s">
        <v>346</v>
      </c>
      <c r="D515" s="226">
        <v>0</v>
      </c>
      <c r="E515"/>
      <c r="F515"/>
      <c r="G515"/>
      <c r="H515"/>
    </row>
    <row r="516" spans="2:8" x14ac:dyDescent="0.25">
      <c r="B516" s="184"/>
      <c r="C516" s="184" t="s">
        <v>354</v>
      </c>
      <c r="D516" s="226">
        <v>0</v>
      </c>
      <c r="E516"/>
      <c r="F516"/>
      <c r="G516"/>
      <c r="H516"/>
    </row>
    <row r="517" spans="2:8" x14ac:dyDescent="0.25">
      <c r="B517" s="184"/>
      <c r="C517" s="184" t="s">
        <v>335</v>
      </c>
      <c r="D517" s="226">
        <v>0</v>
      </c>
      <c r="E517"/>
      <c r="F517"/>
      <c r="G517"/>
      <c r="H517"/>
    </row>
    <row r="518" spans="2:8" hidden="1" x14ac:dyDescent="0.25">
      <c r="B518" s="184"/>
      <c r="C518" s="329" t="s">
        <v>355</v>
      </c>
      <c r="D518" s="226">
        <v>0</v>
      </c>
      <c r="E518"/>
      <c r="F518"/>
      <c r="G518"/>
      <c r="H518"/>
    </row>
    <row r="519" spans="2:8" x14ac:dyDescent="0.25">
      <c r="B519" s="184"/>
      <c r="C519" s="184"/>
      <c r="D519" s="226"/>
      <c r="E519"/>
      <c r="F519"/>
      <c r="G519"/>
      <c r="H519"/>
    </row>
    <row r="520" spans="2:8" ht="13.8" thickBot="1" x14ac:dyDescent="0.3">
      <c r="B520" s="184"/>
      <c r="C520" s="260" t="s">
        <v>356</v>
      </c>
      <c r="D520" s="228">
        <f>SUM(D512:D519)</f>
        <v>0</v>
      </c>
      <c r="E520"/>
      <c r="F520"/>
      <c r="G520"/>
      <c r="H520"/>
    </row>
    <row r="521" spans="2:8" ht="13.8" thickTop="1" x14ac:dyDescent="0.25">
      <c r="B521" s="184"/>
      <c r="C521" s="184"/>
      <c r="D521" s="226"/>
      <c r="E521"/>
      <c r="F521"/>
      <c r="G521"/>
      <c r="H521"/>
    </row>
    <row r="522" spans="2:8" x14ac:dyDescent="0.25">
      <c r="B522" s="224" t="s">
        <v>357</v>
      </c>
      <c r="C522" s="184"/>
      <c r="D522" s="226"/>
      <c r="E522"/>
      <c r="F522"/>
      <c r="G522"/>
      <c r="H522"/>
    </row>
    <row r="523" spans="2:8" x14ac:dyDescent="0.25">
      <c r="B523" s="184"/>
      <c r="C523" s="184" t="s">
        <v>358</v>
      </c>
      <c r="D523" s="226">
        <v>0</v>
      </c>
      <c r="E523"/>
      <c r="F523"/>
      <c r="G523"/>
      <c r="H523"/>
    </row>
    <row r="524" spans="2:8" hidden="1" x14ac:dyDescent="0.25">
      <c r="B524" s="184"/>
      <c r="C524" s="329" t="s">
        <v>353</v>
      </c>
      <c r="D524" s="226">
        <v>0</v>
      </c>
      <c r="E524"/>
      <c r="F524"/>
      <c r="G524"/>
      <c r="H524"/>
    </row>
    <row r="525" spans="2:8" x14ac:dyDescent="0.25">
      <c r="B525" s="184"/>
      <c r="C525" s="184" t="s">
        <v>335</v>
      </c>
      <c r="D525" s="226">
        <v>0</v>
      </c>
      <c r="E525"/>
      <c r="F525"/>
      <c r="G525"/>
      <c r="H525"/>
    </row>
    <row r="526" spans="2:8" x14ac:dyDescent="0.25">
      <c r="B526" s="184"/>
      <c r="C526" s="184" t="s">
        <v>355</v>
      </c>
      <c r="D526" s="226">
        <v>0</v>
      </c>
      <c r="E526"/>
      <c r="F526"/>
      <c r="G526"/>
      <c r="H526"/>
    </row>
    <row r="527" spans="2:8" x14ac:dyDescent="0.25">
      <c r="B527" s="184"/>
      <c r="C527" s="184"/>
      <c r="D527" s="226"/>
      <c r="E527"/>
      <c r="F527"/>
      <c r="G527"/>
      <c r="H527"/>
    </row>
    <row r="528" spans="2:8" ht="13.8" thickBot="1" x14ac:dyDescent="0.3">
      <c r="B528" s="184"/>
      <c r="C528" s="260" t="s">
        <v>359</v>
      </c>
      <c r="D528" s="252">
        <f>SUM(D523:D527)</f>
        <v>0</v>
      </c>
      <c r="E528"/>
      <c r="F528"/>
      <c r="G528"/>
      <c r="H528"/>
    </row>
    <row r="529" spans="2:8" ht="13.8" thickTop="1" x14ac:dyDescent="0.25">
      <c r="B529" s="184"/>
      <c r="C529" s="184"/>
      <c r="D529" s="226"/>
      <c r="E529"/>
      <c r="F529"/>
      <c r="G529"/>
      <c r="H529"/>
    </row>
    <row r="530" spans="2:8" x14ac:dyDescent="0.25">
      <c r="B530" s="224" t="s">
        <v>360</v>
      </c>
      <c r="C530" s="184"/>
      <c r="D530" s="226"/>
      <c r="E530"/>
      <c r="F530"/>
      <c r="G530"/>
      <c r="H530"/>
    </row>
    <row r="531" spans="2:8" hidden="1" x14ac:dyDescent="0.25">
      <c r="B531" s="184"/>
      <c r="C531" s="329" t="s">
        <v>361</v>
      </c>
      <c r="D531" s="226">
        <v>0</v>
      </c>
      <c r="E531"/>
      <c r="F531"/>
      <c r="G531"/>
      <c r="H531"/>
    </row>
    <row r="532" spans="2:8" hidden="1" x14ac:dyDescent="0.25">
      <c r="B532" s="184"/>
      <c r="C532" s="329" t="s">
        <v>353</v>
      </c>
      <c r="D532" s="226">
        <v>0</v>
      </c>
      <c r="E532"/>
      <c r="F532"/>
      <c r="G532"/>
      <c r="H532"/>
    </row>
    <row r="533" spans="2:8" x14ac:dyDescent="0.25">
      <c r="B533" s="184"/>
      <c r="C533" s="184" t="s">
        <v>362</v>
      </c>
      <c r="D533" s="226">
        <v>0</v>
      </c>
      <c r="E533"/>
      <c r="F533"/>
      <c r="G533"/>
      <c r="H533"/>
    </row>
    <row r="534" spans="2:8" hidden="1" x14ac:dyDescent="0.25">
      <c r="B534" s="184"/>
      <c r="C534" s="329" t="s">
        <v>355</v>
      </c>
      <c r="D534" s="226">
        <v>0</v>
      </c>
      <c r="E534"/>
      <c r="F534"/>
      <c r="G534"/>
      <c r="H534"/>
    </row>
    <row r="535" spans="2:8" x14ac:dyDescent="0.25">
      <c r="B535" s="184"/>
      <c r="C535" s="184" t="s">
        <v>363</v>
      </c>
      <c r="D535" s="226">
        <v>0</v>
      </c>
      <c r="E535"/>
      <c r="F535"/>
      <c r="G535"/>
      <c r="H535"/>
    </row>
    <row r="536" spans="2:8" hidden="1" x14ac:dyDescent="0.25">
      <c r="B536" s="184"/>
      <c r="C536" s="329" t="s">
        <v>364</v>
      </c>
      <c r="D536" s="226">
        <v>0</v>
      </c>
      <c r="E536"/>
      <c r="F536"/>
      <c r="G536"/>
      <c r="H536"/>
    </row>
    <row r="537" spans="2:8" x14ac:dyDescent="0.25">
      <c r="B537" s="184"/>
      <c r="C537" s="184"/>
      <c r="D537" s="226"/>
      <c r="E537"/>
      <c r="F537"/>
      <c r="G537"/>
      <c r="H537"/>
    </row>
    <row r="538" spans="2:8" ht="13.8" thickBot="1" x14ac:dyDescent="0.3">
      <c r="B538" s="184"/>
      <c r="C538" s="260" t="s">
        <v>365</v>
      </c>
      <c r="D538" s="252">
        <f>SUM(D531:D537)</f>
        <v>0</v>
      </c>
      <c r="E538"/>
      <c r="F538"/>
      <c r="G538"/>
      <c r="H538"/>
    </row>
    <row r="539" spans="2:8" ht="13.8" thickTop="1" x14ac:dyDescent="0.25">
      <c r="B539" s="184"/>
      <c r="C539" s="264"/>
      <c r="D539" s="267"/>
      <c r="E539"/>
      <c r="F539"/>
      <c r="G539"/>
      <c r="H539"/>
    </row>
    <row r="540" spans="2:8" x14ac:dyDescent="0.25">
      <c r="B540" s="184"/>
      <c r="C540" s="258" t="s">
        <v>366</v>
      </c>
      <c r="D540" s="268">
        <f>D460+D467+D473+D482+D488+D500+D509+D520+D528+D538+D454+D447</f>
        <v>52337352.56000001</v>
      </c>
      <c r="E540"/>
      <c r="F540"/>
      <c r="G540"/>
      <c r="H540"/>
    </row>
    <row r="541" spans="2:8" x14ac:dyDescent="0.25">
      <c r="B541" s="184"/>
      <c r="C541" s="224"/>
      <c r="D541" s="225"/>
      <c r="E541"/>
      <c r="F541"/>
      <c r="G541"/>
      <c r="H541"/>
    </row>
    <row r="542" spans="2:8" x14ac:dyDescent="0.25">
      <c r="B542" s="184"/>
      <c r="C542" s="184" t="s">
        <v>368</v>
      </c>
      <c r="D542" s="269">
        <v>337504.25</v>
      </c>
      <c r="E542"/>
      <c r="F542"/>
      <c r="G542"/>
      <c r="H542"/>
    </row>
    <row r="543" spans="2:8" x14ac:dyDescent="0.25">
      <c r="B543" s="184"/>
      <c r="C543" s="184"/>
      <c r="D543" s="269"/>
      <c r="E543"/>
      <c r="F543"/>
      <c r="G543"/>
      <c r="H543"/>
    </row>
    <row r="544" spans="2:8" x14ac:dyDescent="0.25">
      <c r="B544" s="184"/>
      <c r="C544" s="184"/>
      <c r="D544" s="269"/>
      <c r="E544"/>
      <c r="F544"/>
      <c r="G544"/>
      <c r="H544"/>
    </row>
    <row r="545" spans="2:8" ht="13.8" thickBot="1" x14ac:dyDescent="0.3">
      <c r="B545" s="194"/>
      <c r="C545" s="270"/>
      <c r="D545" s="271">
        <f>D441+D540+D542</f>
        <v>90483768.810000017</v>
      </c>
      <c r="E545"/>
      <c r="F545"/>
      <c r="G545"/>
      <c r="H545"/>
    </row>
    <row r="546" spans="2:8" ht="13.8" thickTop="1" x14ac:dyDescent="0.25">
      <c r="B546" s="184"/>
      <c r="C546" s="184"/>
      <c r="D546" s="186"/>
      <c r="E546"/>
      <c r="F546"/>
      <c r="G546"/>
      <c r="H546"/>
    </row>
    <row r="547" spans="2:8" x14ac:dyDescent="0.25">
      <c r="B547" s="184"/>
      <c r="C547" s="254"/>
      <c r="D547" s="230"/>
      <c r="E547"/>
      <c r="F547"/>
      <c r="G547"/>
      <c r="H547"/>
    </row>
    <row r="548" spans="2:8" x14ac:dyDescent="0.25">
      <c r="B548" s="184"/>
      <c r="C548" s="184"/>
      <c r="D548" s="194"/>
      <c r="E548"/>
      <c r="F548"/>
      <c r="G548"/>
      <c r="H548"/>
    </row>
    <row r="549" spans="2:8" x14ac:dyDescent="0.25">
      <c r="B549" s="184"/>
      <c r="C549" s="184"/>
      <c r="D549" s="230"/>
      <c r="E549"/>
      <c r="F549"/>
      <c r="G549"/>
      <c r="H549"/>
    </row>
    <row r="550" spans="2:8" x14ac:dyDescent="0.25">
      <c r="C550" s="184"/>
      <c r="D550" s="184"/>
      <c r="E550" s="230"/>
    </row>
    <row r="551" spans="2:8" x14ac:dyDescent="0.25">
      <c r="C551" s="184"/>
      <c r="D551" s="184"/>
      <c r="E551" s="255"/>
    </row>
    <row r="552" spans="2:8" x14ac:dyDescent="0.25">
      <c r="C552" s="184"/>
      <c r="D552" s="184"/>
      <c r="E552" s="230"/>
    </row>
    <row r="553" spans="2:8" x14ac:dyDescent="0.25">
      <c r="C553" s="184"/>
      <c r="D553" s="184"/>
      <c r="E553" s="186"/>
    </row>
    <row r="554" spans="2:8" x14ac:dyDescent="0.25">
      <c r="C554" s="184"/>
      <c r="D554" s="184"/>
      <c r="E554" s="230"/>
    </row>
    <row r="555" spans="2:8" x14ac:dyDescent="0.25">
      <c r="C555" s="184"/>
      <c r="D555" s="186"/>
      <c r="E555" s="186"/>
    </row>
    <row r="556" spans="2:8" x14ac:dyDescent="0.25">
      <c r="C556" s="184"/>
      <c r="D556" s="186"/>
      <c r="E556" s="230"/>
    </row>
    <row r="557" spans="2:8" x14ac:dyDescent="0.25">
      <c r="C557" s="184"/>
      <c r="D557" s="184"/>
      <c r="E557" s="186"/>
    </row>
    <row r="558" spans="2:8" x14ac:dyDescent="0.25">
      <c r="C558" s="184"/>
      <c r="D558" s="184"/>
      <c r="E558" s="194"/>
    </row>
    <row r="559" spans="2:8" x14ac:dyDescent="0.25">
      <c r="C559" s="184"/>
      <c r="D559" s="184"/>
      <c r="E559" s="186"/>
    </row>
    <row r="560" spans="2:8" x14ac:dyDescent="0.25">
      <c r="C560" s="184"/>
      <c r="D560" s="184"/>
      <c r="E560" s="194"/>
    </row>
    <row r="561" spans="3:5" x14ac:dyDescent="0.25">
      <c r="C561" s="184"/>
      <c r="D561" s="184"/>
      <c r="E561" s="186"/>
    </row>
    <row r="562" spans="3:5" x14ac:dyDescent="0.25">
      <c r="C562" s="184"/>
      <c r="D562" s="184"/>
      <c r="E562" s="194"/>
    </row>
    <row r="563" spans="3:5" x14ac:dyDescent="0.25">
      <c r="C563" s="184"/>
      <c r="D563" s="184"/>
      <c r="E563" s="186"/>
    </row>
    <row r="564" spans="3:5" x14ac:dyDescent="0.25">
      <c r="C564" s="184"/>
      <c r="D564" s="184"/>
      <c r="E564" s="194"/>
    </row>
    <row r="565" spans="3:5" x14ac:dyDescent="0.25">
      <c r="C565" s="184"/>
      <c r="D565" s="184"/>
      <c r="E565" s="186"/>
    </row>
    <row r="566" spans="3:5" x14ac:dyDescent="0.25">
      <c r="C566" s="184"/>
      <c r="D566" s="184"/>
      <c r="E566" s="194"/>
    </row>
    <row r="567" spans="3:5" x14ac:dyDescent="0.25">
      <c r="C567" s="184"/>
      <c r="D567" s="184"/>
      <c r="E567" s="186"/>
    </row>
    <row r="568" spans="3:5" x14ac:dyDescent="0.25">
      <c r="C568" s="184"/>
      <c r="D568" s="184"/>
      <c r="E568" s="194"/>
    </row>
    <row r="569" spans="3:5" x14ac:dyDescent="0.25">
      <c r="C569" s="184"/>
      <c r="D569" s="184"/>
      <c r="E569" s="186"/>
    </row>
    <row r="570" spans="3:5" x14ac:dyDescent="0.25">
      <c r="C570" s="184"/>
      <c r="D570" s="184"/>
      <c r="E570" s="194"/>
    </row>
    <row r="571" spans="3:5" x14ac:dyDescent="0.25">
      <c r="C571" s="184"/>
      <c r="D571" s="184"/>
      <c r="E571" s="186"/>
    </row>
    <row r="572" spans="3:5" x14ac:dyDescent="0.25">
      <c r="C572" s="184"/>
      <c r="D572" s="184"/>
      <c r="E572" s="194"/>
    </row>
    <row r="573" spans="3:5" x14ac:dyDescent="0.25">
      <c r="C573" s="184"/>
      <c r="D573" s="184"/>
      <c r="E573" s="186"/>
    </row>
    <row r="574" spans="3:5" x14ac:dyDescent="0.25">
      <c r="C574" s="184"/>
      <c r="D574" s="184"/>
      <c r="E574" s="194"/>
    </row>
    <row r="575" spans="3:5" x14ac:dyDescent="0.25">
      <c r="C575" s="184"/>
      <c r="D575" s="184"/>
      <c r="E575" s="186"/>
    </row>
    <row r="576" spans="3:5" x14ac:dyDescent="0.25">
      <c r="C576" s="184"/>
      <c r="D576" s="184"/>
      <c r="E576" s="194"/>
    </row>
    <row r="577" spans="3:5" x14ac:dyDescent="0.25">
      <c r="C577" s="184"/>
      <c r="D577" s="184"/>
      <c r="E577" s="186"/>
    </row>
    <row r="578" spans="3:5" x14ac:dyDescent="0.25">
      <c r="C578" s="184"/>
      <c r="D578" s="184"/>
      <c r="E578" s="194"/>
    </row>
    <row r="579" spans="3:5" x14ac:dyDescent="0.25">
      <c r="C579" s="184"/>
      <c r="D579" s="184"/>
      <c r="E579" s="186"/>
    </row>
    <row r="580" spans="3:5" x14ac:dyDescent="0.25">
      <c r="C580" s="184"/>
      <c r="D580" s="184"/>
      <c r="E580" s="194"/>
    </row>
    <row r="581" spans="3:5" x14ac:dyDescent="0.25">
      <c r="C581" s="184"/>
      <c r="D581" s="184"/>
      <c r="E581" s="186"/>
    </row>
    <row r="582" spans="3:5" x14ac:dyDescent="0.25">
      <c r="C582" s="184"/>
      <c r="D582" s="184"/>
      <c r="E582" s="194"/>
    </row>
    <row r="583" spans="3:5" x14ac:dyDescent="0.25">
      <c r="C583" s="184"/>
      <c r="D583" s="184"/>
      <c r="E583" s="186"/>
    </row>
    <row r="584" spans="3:5" x14ac:dyDescent="0.25">
      <c r="C584" s="184"/>
      <c r="D584" s="184"/>
      <c r="E584" s="194"/>
    </row>
    <row r="585" spans="3:5" x14ac:dyDescent="0.25">
      <c r="C585" s="184"/>
      <c r="D585" s="184"/>
      <c r="E585" s="186"/>
    </row>
    <row r="586" spans="3:5" x14ac:dyDescent="0.25">
      <c r="C586" s="184"/>
      <c r="D586" s="184"/>
      <c r="E586" s="194"/>
    </row>
    <row r="587" spans="3:5" x14ac:dyDescent="0.25">
      <c r="C587" s="184"/>
      <c r="D587" s="184"/>
      <c r="E587" s="186"/>
    </row>
    <row r="588" spans="3:5" x14ac:dyDescent="0.25">
      <c r="C588" s="184"/>
      <c r="D588" s="184"/>
      <c r="E588" s="194"/>
    </row>
    <row r="589" spans="3:5" x14ac:dyDescent="0.25">
      <c r="C589" s="184"/>
      <c r="D589" s="184"/>
      <c r="E589" s="186"/>
    </row>
    <row r="590" spans="3:5" x14ac:dyDescent="0.25">
      <c r="C590" s="184"/>
      <c r="D590" s="184"/>
      <c r="E590" s="194"/>
    </row>
    <row r="591" spans="3:5" x14ac:dyDescent="0.25">
      <c r="C591" s="184"/>
      <c r="D591" s="184"/>
      <c r="E591" s="186"/>
    </row>
    <row r="592" spans="3:5" x14ac:dyDescent="0.25">
      <c r="C592" s="184"/>
      <c r="D592" s="184"/>
      <c r="E592" s="194"/>
    </row>
    <row r="593" spans="3:5" x14ac:dyDescent="0.25">
      <c r="C593" s="184"/>
      <c r="D593" s="184"/>
      <c r="E593" s="186"/>
    </row>
    <row r="594" spans="3:5" x14ac:dyDescent="0.25">
      <c r="C594" s="184"/>
      <c r="D594" s="184"/>
      <c r="E594" s="194"/>
    </row>
    <row r="595" spans="3:5" x14ac:dyDescent="0.25">
      <c r="C595" s="184"/>
      <c r="D595" s="184"/>
      <c r="E595" s="186"/>
    </row>
    <row r="596" spans="3:5" x14ac:dyDescent="0.25">
      <c r="C596" s="184"/>
      <c r="D596" s="184"/>
      <c r="E596" s="194"/>
    </row>
    <row r="597" spans="3:5" x14ac:dyDescent="0.25">
      <c r="C597" s="184"/>
      <c r="D597" s="184"/>
      <c r="E597" s="186"/>
    </row>
    <row r="598" spans="3:5" x14ac:dyDescent="0.25">
      <c r="C598" s="184"/>
      <c r="D598" s="184"/>
      <c r="E598" s="194"/>
    </row>
    <row r="599" spans="3:5" x14ac:dyDescent="0.25">
      <c r="C599" s="184"/>
      <c r="D599" s="184"/>
      <c r="E599" s="186"/>
    </row>
    <row r="600" spans="3:5" x14ac:dyDescent="0.25">
      <c r="C600" s="184"/>
      <c r="D600" s="184"/>
      <c r="E600" s="194"/>
    </row>
    <row r="601" spans="3:5" x14ac:dyDescent="0.25">
      <c r="C601" s="184"/>
      <c r="D601" s="184"/>
      <c r="E601" s="186"/>
    </row>
    <row r="602" spans="3:5" x14ac:dyDescent="0.25">
      <c r="C602" s="184"/>
      <c r="D602" s="184"/>
      <c r="E602" s="194"/>
    </row>
    <row r="603" spans="3:5" x14ac:dyDescent="0.25">
      <c r="C603" s="184"/>
      <c r="D603" s="184"/>
      <c r="E603" s="185"/>
    </row>
    <row r="604" spans="3:5" x14ac:dyDescent="0.25">
      <c r="C604" s="184"/>
      <c r="D604" s="184"/>
      <c r="E604" s="194"/>
    </row>
    <row r="605" spans="3:5" x14ac:dyDescent="0.25">
      <c r="C605" s="184"/>
      <c r="D605" s="184"/>
      <c r="E605" s="186"/>
    </row>
    <row r="606" spans="3:5" x14ac:dyDescent="0.25">
      <c r="C606" s="184"/>
      <c r="D606" s="184"/>
      <c r="E606" s="194"/>
    </row>
    <row r="607" spans="3:5" x14ac:dyDescent="0.25">
      <c r="C607" s="184"/>
      <c r="D607" s="184"/>
      <c r="E607" s="186"/>
    </row>
    <row r="608" spans="3:5" x14ac:dyDescent="0.25">
      <c r="C608" s="184"/>
      <c r="D608" s="184"/>
      <c r="E608" s="194"/>
    </row>
    <row r="609" spans="3:5" x14ac:dyDescent="0.25">
      <c r="C609" s="184"/>
      <c r="D609" s="184"/>
      <c r="E609" s="190"/>
    </row>
    <row r="610" spans="3:5" x14ac:dyDescent="0.25">
      <c r="C610" s="184"/>
      <c r="D610" s="184"/>
      <c r="E610" s="194"/>
    </row>
    <row r="611" spans="3:5" x14ac:dyDescent="0.25">
      <c r="C611" s="184"/>
      <c r="D611" s="184"/>
      <c r="E611" s="190"/>
    </row>
    <row r="612" spans="3:5" x14ac:dyDescent="0.25">
      <c r="C612" s="184"/>
      <c r="D612" s="184"/>
      <c r="E612" s="194"/>
    </row>
    <row r="613" spans="3:5" x14ac:dyDescent="0.25">
      <c r="C613" s="184"/>
      <c r="D613" s="184"/>
      <c r="E613" s="186"/>
    </row>
    <row r="614" spans="3:5" x14ac:dyDescent="0.25">
      <c r="C614" s="184"/>
      <c r="D614" s="184"/>
      <c r="E614" s="194"/>
    </row>
    <row r="615" spans="3:5" x14ac:dyDescent="0.25">
      <c r="C615" s="184"/>
      <c r="D615" s="184"/>
      <c r="E615" s="186"/>
    </row>
    <row r="616" spans="3:5" x14ac:dyDescent="0.25">
      <c r="C616" s="184"/>
      <c r="D616" s="184"/>
      <c r="E616" s="194"/>
    </row>
    <row r="617" spans="3:5" x14ac:dyDescent="0.25">
      <c r="C617" s="184"/>
      <c r="D617" s="184"/>
      <c r="E617" s="186"/>
    </row>
    <row r="618" spans="3:5" x14ac:dyDescent="0.25">
      <c r="C618" s="184"/>
      <c r="D618" s="184"/>
      <c r="E618" s="194"/>
    </row>
    <row r="619" spans="3:5" x14ac:dyDescent="0.25">
      <c r="C619" s="184"/>
      <c r="D619" s="184"/>
      <c r="E619" s="186"/>
    </row>
    <row r="620" spans="3:5" x14ac:dyDescent="0.25">
      <c r="C620" s="184"/>
      <c r="D620" s="184"/>
      <c r="E620" s="194"/>
    </row>
    <row r="621" spans="3:5" x14ac:dyDescent="0.25">
      <c r="C621" s="184"/>
      <c r="D621" s="184"/>
      <c r="E621" s="186"/>
    </row>
    <row r="622" spans="3:5" x14ac:dyDescent="0.25">
      <c r="C622" s="184"/>
      <c r="D622" s="184"/>
      <c r="E622" s="194"/>
    </row>
    <row r="623" spans="3:5" x14ac:dyDescent="0.25">
      <c r="C623" s="184"/>
      <c r="D623" s="184"/>
      <c r="E623" s="186"/>
    </row>
    <row r="624" spans="3:5" x14ac:dyDescent="0.25">
      <c r="C624" s="184"/>
      <c r="D624" s="184"/>
      <c r="E624" s="194"/>
    </row>
    <row r="625" spans="3:5" x14ac:dyDescent="0.25">
      <c r="C625" s="184"/>
      <c r="D625" s="184"/>
      <c r="E625" s="186"/>
    </row>
    <row r="626" spans="3:5" x14ac:dyDescent="0.25">
      <c r="C626" s="184"/>
      <c r="D626" s="184"/>
      <c r="E626" s="194"/>
    </row>
    <row r="627" spans="3:5" x14ac:dyDescent="0.25">
      <c r="C627" s="184"/>
      <c r="D627" s="184"/>
      <c r="E627" s="186"/>
    </row>
    <row r="628" spans="3:5" x14ac:dyDescent="0.25">
      <c r="C628" s="184"/>
      <c r="D628" s="184"/>
      <c r="E628" s="194"/>
    </row>
    <row r="629" spans="3:5" x14ac:dyDescent="0.25">
      <c r="C629" s="184"/>
      <c r="D629" s="184"/>
      <c r="E629" s="186"/>
    </row>
    <row r="630" spans="3:5" x14ac:dyDescent="0.25">
      <c r="C630" s="184"/>
      <c r="D630" s="184"/>
      <c r="E630" s="194"/>
    </row>
    <row r="631" spans="3:5" x14ac:dyDescent="0.25">
      <c r="C631" s="184"/>
      <c r="D631" s="184"/>
      <c r="E631" s="186"/>
    </row>
    <row r="632" spans="3:5" x14ac:dyDescent="0.25">
      <c r="C632" s="184"/>
      <c r="D632" s="184"/>
      <c r="E632" s="194"/>
    </row>
    <row r="633" spans="3:5" x14ac:dyDescent="0.25">
      <c r="C633" s="184"/>
      <c r="D633" s="184"/>
      <c r="E633" s="186"/>
    </row>
    <row r="634" spans="3:5" x14ac:dyDescent="0.25">
      <c r="C634" s="184"/>
      <c r="D634" s="184"/>
      <c r="E634" s="194"/>
    </row>
    <row r="635" spans="3:5" x14ac:dyDescent="0.25">
      <c r="C635" s="184"/>
      <c r="D635" s="184"/>
      <c r="E635" s="186"/>
    </row>
    <row r="636" spans="3:5" x14ac:dyDescent="0.25">
      <c r="C636" s="184"/>
      <c r="D636" s="184"/>
      <c r="E636" s="194"/>
    </row>
    <row r="637" spans="3:5" x14ac:dyDescent="0.25">
      <c r="C637" s="184"/>
      <c r="D637" s="184"/>
      <c r="E637" s="186"/>
    </row>
    <row r="638" spans="3:5" x14ac:dyDescent="0.25">
      <c r="C638" s="184"/>
      <c r="D638" s="184"/>
      <c r="E638" s="194"/>
    </row>
    <row r="639" spans="3:5" x14ac:dyDescent="0.25">
      <c r="C639" s="184"/>
      <c r="D639" s="184"/>
      <c r="E639" s="186"/>
    </row>
    <row r="640" spans="3:5" x14ac:dyDescent="0.25">
      <c r="C640" s="184"/>
      <c r="D640" s="184"/>
      <c r="E640" s="194"/>
    </row>
    <row r="641" spans="3:5" x14ac:dyDescent="0.25">
      <c r="C641" s="184"/>
      <c r="D641" s="184"/>
      <c r="E641" s="186"/>
    </row>
    <row r="642" spans="3:5" x14ac:dyDescent="0.25">
      <c r="C642" s="184"/>
      <c r="D642" s="184"/>
      <c r="E642" s="194"/>
    </row>
    <row r="643" spans="3:5" x14ac:dyDescent="0.25">
      <c r="C643" s="184"/>
      <c r="D643" s="184"/>
      <c r="E643" s="186"/>
    </row>
    <row r="644" spans="3:5" x14ac:dyDescent="0.25">
      <c r="C644" s="184"/>
      <c r="D644" s="184"/>
      <c r="E644" s="194"/>
    </row>
    <row r="645" spans="3:5" x14ac:dyDescent="0.25">
      <c r="C645" s="184"/>
      <c r="D645" s="184"/>
      <c r="E645" s="186"/>
    </row>
    <row r="646" spans="3:5" x14ac:dyDescent="0.25">
      <c r="C646" s="184"/>
      <c r="D646" s="184"/>
      <c r="E646" s="194"/>
    </row>
    <row r="647" spans="3:5" x14ac:dyDescent="0.25">
      <c r="C647" s="184"/>
      <c r="D647" s="184"/>
      <c r="E647" s="190"/>
    </row>
    <row r="648" spans="3:5" x14ac:dyDescent="0.25">
      <c r="C648" s="184"/>
      <c r="D648" s="184"/>
      <c r="E648" s="194"/>
    </row>
    <row r="649" spans="3:5" x14ac:dyDescent="0.25">
      <c r="C649" s="184"/>
      <c r="D649" s="184"/>
      <c r="E649" s="190"/>
    </row>
    <row r="650" spans="3:5" x14ac:dyDescent="0.25">
      <c r="C650" s="184"/>
      <c r="D650" s="184"/>
      <c r="E650" s="194"/>
    </row>
    <row r="651" spans="3:5" x14ac:dyDescent="0.25">
      <c r="C651" s="184"/>
      <c r="D651" s="184"/>
      <c r="E651" s="190"/>
    </row>
    <row r="652" spans="3:5" x14ac:dyDescent="0.25">
      <c r="D652"/>
      <c r="E652"/>
    </row>
    <row r="653" spans="3:5" x14ac:dyDescent="0.25">
      <c r="D653"/>
      <c r="E653"/>
    </row>
    <row r="654" spans="3:5" x14ac:dyDescent="0.25">
      <c r="D654"/>
      <c r="E654"/>
    </row>
    <row r="655" spans="3:5" x14ac:dyDescent="0.25">
      <c r="D655"/>
      <c r="E655"/>
    </row>
  </sheetData>
  <pageMargins left="0.7" right="0.7" top="0.75" bottom="0.75" header="0.3" footer="0.3"/>
  <pageSetup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800CC-1440-44F2-BC3E-909F15AD6978}">
  <dimension ref="A1:AJ705"/>
  <sheetViews>
    <sheetView topLeftCell="A444" workbookViewId="0">
      <selection activeCell="G344" sqref="G344"/>
    </sheetView>
  </sheetViews>
  <sheetFormatPr defaultColWidth="8.88671875" defaultRowHeight="13.2" x14ac:dyDescent="0.25"/>
  <cols>
    <col min="1" max="1" width="3.6640625" style="184" customWidth="1"/>
    <col min="2" max="2" width="40.6640625" style="184" customWidth="1"/>
    <col min="3" max="3" width="18.88671875" style="185" bestFit="1" customWidth="1"/>
    <col min="4" max="5" width="15.6640625" style="185" customWidth="1"/>
    <col min="6" max="6" width="19.44140625" style="196" customWidth="1"/>
    <col min="7" max="7" width="15.6640625" style="196" customWidth="1"/>
    <col min="8" max="8" width="15.6640625" style="186" customWidth="1"/>
    <col min="9" max="9" width="15.6640625" style="185" hidden="1" customWidth="1"/>
    <col min="10" max="11" width="15.6640625" style="185" customWidth="1"/>
    <col min="12" max="12" width="14.44140625" style="196" bestFit="1" customWidth="1"/>
    <col min="13" max="15" width="14.44140625" style="196" customWidth="1"/>
    <col min="16" max="16" width="21.88671875" style="218" hidden="1" customWidth="1"/>
    <col min="17" max="17" width="4" style="218" hidden="1" customWidth="1"/>
    <col min="18" max="18" width="5.44140625" style="218" hidden="1" customWidth="1"/>
    <col min="19" max="19" width="4.44140625" style="184" hidden="1" customWidth="1"/>
    <col min="20" max="20" width="3.6640625" style="184" hidden="1" customWidth="1"/>
    <col min="21" max="21" width="40.6640625" style="184" hidden="1" customWidth="1"/>
    <col min="22" max="22" width="5.44140625" style="192" hidden="1" customWidth="1"/>
    <col min="23" max="23" width="16.33203125" style="193" hidden="1" customWidth="1"/>
    <col min="24" max="26" width="8.88671875" style="184" hidden="1" customWidth="1"/>
    <col min="27" max="27" width="14.33203125" style="194" hidden="1" customWidth="1"/>
    <col min="28" max="28" width="13.44140625" style="194" hidden="1" customWidth="1"/>
    <col min="29" max="29" width="13.6640625" style="194" hidden="1" customWidth="1"/>
    <col min="30" max="30" width="13.33203125" style="194" hidden="1" customWidth="1"/>
    <col min="31" max="31" width="13.33203125" style="195" hidden="1" customWidth="1"/>
    <col min="32" max="32" width="13.44140625" style="184" bestFit="1" customWidth="1"/>
    <col min="33" max="35" width="8.88671875" style="184"/>
    <col min="36" max="36" width="13.44140625" style="184" bestFit="1" customWidth="1"/>
    <col min="37" max="16384" width="8.88671875" style="184"/>
  </cols>
  <sheetData>
    <row r="1" spans="1:36" x14ac:dyDescent="0.25">
      <c r="D1" s="186"/>
      <c r="E1" s="187"/>
      <c r="F1" s="188" t="s">
        <v>131</v>
      </c>
      <c r="G1" s="189"/>
      <c r="H1" s="190"/>
      <c r="I1" s="191"/>
      <c r="J1" s="191"/>
      <c r="K1" s="189"/>
      <c r="L1" s="189"/>
      <c r="M1" s="189"/>
      <c r="N1" s="189"/>
      <c r="O1" s="189"/>
      <c r="P1" s="406" t="s">
        <v>170</v>
      </c>
      <c r="Q1" s="406"/>
      <c r="R1" s="406"/>
      <c r="V1" s="192">
        <v>1</v>
      </c>
      <c r="AH1" s="184">
        <v>1</v>
      </c>
    </row>
    <row r="2" spans="1:36" ht="13.8" thickBot="1" x14ac:dyDescent="0.3">
      <c r="F2" s="188"/>
      <c r="P2" s="406" t="s">
        <v>171</v>
      </c>
      <c r="Q2" s="406"/>
      <c r="R2" s="406"/>
      <c r="V2" s="192">
        <v>2</v>
      </c>
      <c r="AH2" s="184">
        <v>2</v>
      </c>
      <c r="AJ2" s="184" t="s">
        <v>172</v>
      </c>
    </row>
    <row r="3" spans="1:36" x14ac:dyDescent="0.25">
      <c r="B3" s="197" t="s">
        <v>173</v>
      </c>
      <c r="C3" s="198" t="s">
        <v>174</v>
      </c>
      <c r="D3" s="198" t="s">
        <v>175</v>
      </c>
      <c r="E3" s="198" t="s">
        <v>176</v>
      </c>
      <c r="F3" s="199" t="s">
        <v>177</v>
      </c>
      <c r="G3" s="198" t="s">
        <v>178</v>
      </c>
      <c r="H3" s="200" t="s">
        <v>0</v>
      </c>
      <c r="I3" s="198" t="s">
        <v>179</v>
      </c>
      <c r="J3" s="198" t="s">
        <v>179</v>
      </c>
      <c r="K3" s="198" t="s">
        <v>179</v>
      </c>
      <c r="L3" s="201" t="s">
        <v>180</v>
      </c>
      <c r="M3" s="202" t="s">
        <v>181</v>
      </c>
      <c r="N3" s="202" t="s">
        <v>182</v>
      </c>
      <c r="O3" s="201" t="s">
        <v>183</v>
      </c>
      <c r="P3" s="407" t="s">
        <v>184</v>
      </c>
      <c r="Q3" s="406"/>
      <c r="R3" s="406"/>
      <c r="U3" s="197" t="s">
        <v>173</v>
      </c>
      <c r="V3" s="192">
        <v>3</v>
      </c>
      <c r="AA3" s="203" t="s">
        <v>185</v>
      </c>
      <c r="AB3" s="203"/>
      <c r="AC3" s="203"/>
      <c r="AD3" s="203"/>
      <c r="AH3" s="184">
        <v>3</v>
      </c>
      <c r="AJ3" s="184" t="s">
        <v>0</v>
      </c>
    </row>
    <row r="4" spans="1:36" ht="13.8" thickBot="1" x14ac:dyDescent="0.3">
      <c r="B4" s="204"/>
      <c r="C4" s="205"/>
      <c r="D4" s="206" t="s">
        <v>178</v>
      </c>
      <c r="E4" s="206" t="s">
        <v>186</v>
      </c>
      <c r="F4" s="207" t="s">
        <v>187</v>
      </c>
      <c r="G4" s="208"/>
      <c r="H4" s="209" t="s">
        <v>188</v>
      </c>
      <c r="I4" s="206" t="s">
        <v>189</v>
      </c>
      <c r="J4" s="210" t="s">
        <v>190</v>
      </c>
      <c r="K4" s="210" t="s">
        <v>191</v>
      </c>
      <c r="L4" s="206" t="s">
        <v>192</v>
      </c>
      <c r="M4" s="206" t="s">
        <v>193</v>
      </c>
      <c r="N4" s="206" t="s">
        <v>193</v>
      </c>
      <c r="O4" s="206" t="s">
        <v>193</v>
      </c>
      <c r="P4" s="407" t="s">
        <v>194</v>
      </c>
      <c r="Q4" s="406"/>
      <c r="R4" s="406"/>
      <c r="U4" s="204"/>
      <c r="V4" s="192">
        <v>4</v>
      </c>
      <c r="AA4" s="211" t="s">
        <v>195</v>
      </c>
      <c r="AB4" s="211" t="s">
        <v>189</v>
      </c>
      <c r="AC4" s="211" t="s">
        <v>191</v>
      </c>
      <c r="AD4" s="211" t="s">
        <v>4</v>
      </c>
      <c r="AF4" s="184" t="s">
        <v>196</v>
      </c>
      <c r="AH4" s="184">
        <v>4</v>
      </c>
      <c r="AJ4" s="184" t="s">
        <v>188</v>
      </c>
    </row>
    <row r="5" spans="1:36" x14ac:dyDescent="0.25">
      <c r="C5" s="212"/>
      <c r="D5" s="213"/>
      <c r="E5" s="213"/>
      <c r="F5" s="214"/>
      <c r="G5" s="215"/>
      <c r="H5" s="216"/>
      <c r="I5" s="213"/>
      <c r="J5" s="217"/>
      <c r="K5" s="217"/>
      <c r="L5" s="213"/>
      <c r="M5" s="213"/>
      <c r="N5" s="213"/>
      <c r="O5" s="213"/>
      <c r="AA5" s="195"/>
      <c r="AB5" s="195"/>
      <c r="AC5" s="195"/>
      <c r="AD5" s="195"/>
      <c r="AH5" s="184">
        <v>5</v>
      </c>
    </row>
    <row r="6" spans="1:36" x14ac:dyDescent="0.25">
      <c r="A6" s="219" t="s">
        <v>197</v>
      </c>
      <c r="B6" s="220"/>
      <c r="C6" s="212"/>
      <c r="D6" s="213"/>
      <c r="E6" s="213"/>
      <c r="F6" s="221"/>
      <c r="G6" s="222"/>
      <c r="H6" s="223"/>
      <c r="I6" s="222"/>
      <c r="J6" s="222"/>
      <c r="K6" s="222"/>
      <c r="L6" s="221"/>
      <c r="M6" s="221"/>
      <c r="N6" s="221"/>
      <c r="O6" s="221"/>
      <c r="P6" s="221"/>
      <c r="Q6" s="221"/>
      <c r="R6" s="213"/>
      <c r="S6" s="218"/>
      <c r="T6" s="218"/>
      <c r="U6" s="218"/>
      <c r="V6" s="184"/>
      <c r="W6" s="224" t="s">
        <v>198</v>
      </c>
      <c r="Y6" s="192">
        <v>5</v>
      </c>
      <c r="Z6" s="193"/>
      <c r="AA6" s="184"/>
      <c r="AB6" s="184"/>
      <c r="AC6" s="184"/>
      <c r="AE6" s="194"/>
      <c r="AF6" s="194"/>
      <c r="AG6" s="194"/>
      <c r="AH6" s="184">
        <v>6</v>
      </c>
      <c r="AI6" s="194"/>
      <c r="AJ6" s="194"/>
    </row>
    <row r="7" spans="1:36" x14ac:dyDescent="0.25">
      <c r="B7" s="184" t="s">
        <v>199</v>
      </c>
      <c r="C7" s="212">
        <v>5000000</v>
      </c>
      <c r="D7" s="213"/>
      <c r="E7" s="213"/>
      <c r="F7" s="225"/>
      <c r="G7" s="222">
        <f>[1]UMCP!F130</f>
        <v>5000000</v>
      </c>
      <c r="H7" s="223">
        <f>[1]UMCP!H130</f>
        <v>0</v>
      </c>
      <c r="I7" s="221"/>
      <c r="J7" s="226"/>
      <c r="K7" s="226"/>
      <c r="L7" s="221">
        <f t="shared" ref="L7:L23" si="0">G7-H7-I7-J7-K7</f>
        <v>5000000</v>
      </c>
      <c r="M7" s="221">
        <f>H7-N7-O7</f>
        <v>0</v>
      </c>
      <c r="N7" s="221">
        <v>0</v>
      </c>
      <c r="O7" s="221">
        <v>0</v>
      </c>
      <c r="P7" s="221"/>
      <c r="Q7" s="221"/>
      <c r="R7" s="213"/>
      <c r="S7" s="218"/>
      <c r="T7" s="218"/>
      <c r="U7" s="218"/>
      <c r="V7" s="184"/>
      <c r="W7" s="184"/>
      <c r="Y7" s="192"/>
      <c r="Z7" s="193"/>
      <c r="AA7" s="184"/>
      <c r="AB7" s="184"/>
      <c r="AC7" s="184"/>
      <c r="AD7" s="195"/>
      <c r="AF7" s="195">
        <f t="shared" ref="AF7:AF23" si="1">C7+D7+E7-F7-G7</f>
        <v>0</v>
      </c>
      <c r="AG7" s="195"/>
      <c r="AH7" s="184">
        <v>7</v>
      </c>
      <c r="AI7" s="195" t="s">
        <v>200</v>
      </c>
      <c r="AJ7" s="194">
        <v>0</v>
      </c>
    </row>
    <row r="8" spans="1:36" x14ac:dyDescent="0.25">
      <c r="B8" s="224" t="s">
        <v>201</v>
      </c>
      <c r="C8" s="212"/>
      <c r="D8" s="213"/>
      <c r="E8" s="213"/>
      <c r="F8" s="214"/>
      <c r="G8" s="222"/>
      <c r="H8" s="223"/>
      <c r="I8" s="221"/>
      <c r="J8" s="226"/>
      <c r="K8" s="226"/>
      <c r="L8" s="221"/>
      <c r="M8" s="221"/>
      <c r="N8" s="221"/>
      <c r="O8" s="221"/>
      <c r="P8" s="221"/>
      <c r="Q8" s="221"/>
      <c r="R8" s="213"/>
      <c r="S8" s="218"/>
      <c r="T8" s="218"/>
      <c r="U8" s="218"/>
      <c r="V8" s="184"/>
      <c r="W8" s="184"/>
      <c r="Y8" s="192"/>
      <c r="Z8" s="193"/>
      <c r="AA8" s="184"/>
      <c r="AB8" s="184"/>
      <c r="AC8" s="184"/>
      <c r="AD8" s="195"/>
      <c r="AF8" s="195">
        <f t="shared" si="1"/>
        <v>0</v>
      </c>
      <c r="AG8" s="195"/>
      <c r="AH8" s="184">
        <v>9</v>
      </c>
      <c r="AI8" s="194"/>
      <c r="AJ8" s="194"/>
    </row>
    <row r="9" spans="1:36" x14ac:dyDescent="0.25">
      <c r="B9" s="184" t="s">
        <v>202</v>
      </c>
      <c r="C9" s="212">
        <f>300000+3000000+1400000+500000+1200000+300000+150000+750000+800000+500000+491988</f>
        <v>9391988</v>
      </c>
      <c r="D9" s="213"/>
      <c r="E9" s="213"/>
      <c r="F9" s="100"/>
      <c r="G9" s="222">
        <f>[1]UMCP!F30</f>
        <v>9391988</v>
      </c>
      <c r="H9" s="223">
        <f>[1]UMCP!H30</f>
        <v>0</v>
      </c>
      <c r="I9" s="221"/>
      <c r="J9" s="226"/>
      <c r="K9" s="226"/>
      <c r="L9" s="221">
        <f t="shared" si="0"/>
        <v>9391988</v>
      </c>
      <c r="M9" s="221">
        <f t="shared" ref="M9:M23" si="2">H9-N9-O9</f>
        <v>0</v>
      </c>
      <c r="N9" s="221">
        <v>0</v>
      </c>
      <c r="O9" s="221">
        <v>0</v>
      </c>
      <c r="P9" s="221"/>
      <c r="Q9" s="221"/>
      <c r="R9" s="213"/>
      <c r="S9" s="218"/>
      <c r="T9" s="218"/>
      <c r="U9" s="218"/>
      <c r="V9" s="184"/>
      <c r="W9" s="184"/>
      <c r="Y9" s="192"/>
      <c r="Z9" s="193"/>
      <c r="AA9" s="184"/>
      <c r="AB9" s="184"/>
      <c r="AC9" s="184"/>
      <c r="AD9" s="195"/>
      <c r="AF9" s="195">
        <f t="shared" si="1"/>
        <v>0</v>
      </c>
      <c r="AG9" s="195"/>
      <c r="AH9" s="184">
        <v>10</v>
      </c>
      <c r="AI9" s="194"/>
      <c r="AJ9" s="194">
        <v>2420270.1300000004</v>
      </c>
    </row>
    <row r="10" spans="1:36" x14ac:dyDescent="0.25">
      <c r="B10" s="184" t="s">
        <v>203</v>
      </c>
      <c r="C10" s="212">
        <f>990000+990000+990000+800000+1142729</f>
        <v>4912729</v>
      </c>
      <c r="D10" s="213"/>
      <c r="E10" s="213"/>
      <c r="F10" s="214"/>
      <c r="G10" s="222">
        <f>[1]UMB!F13</f>
        <v>4912729</v>
      </c>
      <c r="H10" s="223">
        <f>[1]UMB!H13</f>
        <v>40614.199999999997</v>
      </c>
      <c r="I10" s="221"/>
      <c r="J10" s="226"/>
      <c r="K10" s="226"/>
      <c r="L10" s="221">
        <f t="shared" si="0"/>
        <v>4872114.8</v>
      </c>
      <c r="M10" s="221">
        <f t="shared" si="2"/>
        <v>40614.199999999997</v>
      </c>
      <c r="N10" s="221">
        <v>0</v>
      </c>
      <c r="O10" s="221">
        <v>0</v>
      </c>
      <c r="P10" s="221"/>
      <c r="Q10" s="221"/>
      <c r="R10" s="213"/>
      <c r="S10" s="218"/>
      <c r="T10" s="218"/>
      <c r="U10" s="218"/>
      <c r="V10" s="184"/>
      <c r="W10" s="184"/>
      <c r="Y10" s="192"/>
      <c r="Z10" s="193"/>
      <c r="AA10" s="184"/>
      <c r="AB10" s="184"/>
      <c r="AC10" s="184"/>
      <c r="AD10" s="195"/>
      <c r="AF10" s="195">
        <f t="shared" si="1"/>
        <v>0</v>
      </c>
      <c r="AG10" s="195"/>
      <c r="AH10" s="184">
        <v>11</v>
      </c>
      <c r="AI10" s="194"/>
      <c r="AJ10" s="194">
        <v>0</v>
      </c>
    </row>
    <row r="11" spans="1:36" x14ac:dyDescent="0.25">
      <c r="B11" s="184" t="s">
        <v>204</v>
      </c>
      <c r="C11" s="212">
        <v>1244579</v>
      </c>
      <c r="D11" s="213"/>
      <c r="E11" s="213"/>
      <c r="F11" s="100"/>
      <c r="G11" s="222">
        <f>[1]UMES!F41</f>
        <v>1244579</v>
      </c>
      <c r="H11" s="223">
        <f>[1]UMES!H41</f>
        <v>0</v>
      </c>
      <c r="I11" s="221"/>
      <c r="J11" s="226"/>
      <c r="K11" s="226"/>
      <c r="L11" s="221">
        <f t="shared" si="0"/>
        <v>1244579</v>
      </c>
      <c r="M11" s="221">
        <f t="shared" si="2"/>
        <v>0</v>
      </c>
      <c r="N11" s="221">
        <v>0</v>
      </c>
      <c r="O11" s="221">
        <v>0</v>
      </c>
      <c r="P11" s="221"/>
      <c r="Q11" s="221"/>
      <c r="R11" s="213"/>
      <c r="S11" s="218"/>
      <c r="T11" s="218"/>
      <c r="U11" s="218"/>
      <c r="V11" s="184"/>
      <c r="W11" s="184"/>
      <c r="Y11" s="192"/>
      <c r="Z11" s="193"/>
      <c r="AA11" s="184"/>
      <c r="AB11" s="184"/>
      <c r="AC11" s="184"/>
      <c r="AD11" s="195"/>
      <c r="AF11" s="195">
        <f t="shared" si="1"/>
        <v>0</v>
      </c>
      <c r="AG11" s="195"/>
      <c r="AH11" s="184">
        <v>12</v>
      </c>
      <c r="AI11" s="194"/>
      <c r="AJ11" s="194">
        <v>0</v>
      </c>
    </row>
    <row r="12" spans="1:36" x14ac:dyDescent="0.25">
      <c r="B12" s="184" t="s">
        <v>205</v>
      </c>
      <c r="C12" s="212">
        <v>2283810</v>
      </c>
      <c r="D12" s="213"/>
      <c r="E12" s="213"/>
      <c r="F12" s="214"/>
      <c r="G12" s="222">
        <f>[1]UMBC!F8</f>
        <v>2283810</v>
      </c>
      <c r="H12" s="223">
        <f>[1]UMBC!H8</f>
        <v>0</v>
      </c>
      <c r="I12" s="221"/>
      <c r="J12" s="226"/>
      <c r="K12" s="226"/>
      <c r="L12" s="221">
        <f t="shared" si="0"/>
        <v>2283810</v>
      </c>
      <c r="M12" s="221">
        <f t="shared" si="2"/>
        <v>0</v>
      </c>
      <c r="N12" s="221">
        <v>0</v>
      </c>
      <c r="O12" s="221">
        <v>0</v>
      </c>
      <c r="P12" s="221"/>
      <c r="Q12" s="221"/>
      <c r="R12" s="213"/>
      <c r="S12" s="218"/>
      <c r="T12" s="218"/>
      <c r="U12" s="218"/>
      <c r="V12" s="184"/>
      <c r="W12" s="184"/>
      <c r="Y12" s="192"/>
      <c r="Z12" s="193"/>
      <c r="AA12" s="184"/>
      <c r="AB12" s="184"/>
      <c r="AC12" s="184"/>
      <c r="AD12" s="195"/>
      <c r="AF12" s="195">
        <f t="shared" si="1"/>
        <v>0</v>
      </c>
      <c r="AG12" s="195"/>
      <c r="AH12" s="184">
        <v>13</v>
      </c>
      <c r="AI12" s="194"/>
      <c r="AJ12" s="194">
        <v>0</v>
      </c>
    </row>
    <row r="13" spans="1:36" x14ac:dyDescent="0.25">
      <c r="B13" s="184" t="s">
        <v>206</v>
      </c>
      <c r="C13" s="212">
        <v>284107</v>
      </c>
      <c r="D13" s="213"/>
      <c r="E13" s="213"/>
      <c r="F13" s="214"/>
      <c r="G13" s="222">
        <f>[1]UMCES!F8</f>
        <v>284107</v>
      </c>
      <c r="H13" s="223">
        <f>[1]UMCES!H8</f>
        <v>0</v>
      </c>
      <c r="I13" s="221"/>
      <c r="J13" s="226"/>
      <c r="K13" s="226"/>
      <c r="L13" s="221">
        <f t="shared" si="0"/>
        <v>284107</v>
      </c>
      <c r="M13" s="221">
        <f t="shared" si="2"/>
        <v>0</v>
      </c>
      <c r="N13" s="221">
        <v>0</v>
      </c>
      <c r="O13" s="221">
        <v>0</v>
      </c>
      <c r="P13" s="221"/>
      <c r="Q13" s="221"/>
      <c r="R13" s="213"/>
      <c r="S13" s="218"/>
      <c r="T13" s="218"/>
      <c r="U13" s="218"/>
      <c r="V13" s="184"/>
      <c r="W13" s="184"/>
      <c r="Y13" s="192"/>
      <c r="Z13" s="193"/>
      <c r="AA13" s="184"/>
      <c r="AB13" s="184"/>
      <c r="AC13" s="184"/>
      <c r="AD13" s="195"/>
      <c r="AF13" s="195">
        <f t="shared" si="1"/>
        <v>0</v>
      </c>
      <c r="AG13" s="195"/>
      <c r="AH13" s="184">
        <v>14</v>
      </c>
      <c r="AI13" s="194"/>
      <c r="AJ13" s="194">
        <v>0</v>
      </c>
    </row>
    <row r="14" spans="1:36" x14ac:dyDescent="0.25">
      <c r="B14" s="184" t="s">
        <v>207</v>
      </c>
      <c r="C14" s="212">
        <v>936895</v>
      </c>
      <c r="D14" s="213"/>
      <c r="E14" s="213"/>
      <c r="F14" s="214"/>
      <c r="G14" s="222">
        <f>[1]BSU!F8</f>
        <v>936895</v>
      </c>
      <c r="H14" s="223">
        <f>[1]BSU!H8</f>
        <v>0</v>
      </c>
      <c r="I14" s="221"/>
      <c r="J14" s="226"/>
      <c r="K14" s="226"/>
      <c r="L14" s="221">
        <f t="shared" si="0"/>
        <v>936895</v>
      </c>
      <c r="M14" s="221">
        <f t="shared" si="2"/>
        <v>0</v>
      </c>
      <c r="N14" s="221">
        <v>0</v>
      </c>
      <c r="O14" s="221">
        <v>0</v>
      </c>
      <c r="P14" s="221"/>
      <c r="Q14" s="221"/>
      <c r="R14" s="213"/>
      <c r="S14" s="218"/>
      <c r="T14" s="218"/>
      <c r="U14" s="218"/>
      <c r="V14" s="184"/>
      <c r="W14" s="184"/>
      <c r="Y14" s="192"/>
      <c r="Z14" s="193"/>
      <c r="AA14" s="184"/>
      <c r="AB14" s="184"/>
      <c r="AC14" s="184"/>
      <c r="AD14" s="195"/>
      <c r="AF14" s="195">
        <f t="shared" si="1"/>
        <v>0</v>
      </c>
      <c r="AG14" s="195"/>
      <c r="AH14" s="184">
        <v>15</v>
      </c>
      <c r="AI14" s="194"/>
      <c r="AJ14" s="194">
        <v>0</v>
      </c>
    </row>
    <row r="15" spans="1:36" x14ac:dyDescent="0.25">
      <c r="B15" s="184" t="s">
        <v>208</v>
      </c>
      <c r="C15" s="212">
        <v>664609</v>
      </c>
      <c r="D15" s="213"/>
      <c r="E15" s="213"/>
      <c r="F15" s="214"/>
      <c r="G15" s="222">
        <f>[1]CSU!F8</f>
        <v>664609</v>
      </c>
      <c r="H15" s="223">
        <f>[1]CSU!H8</f>
        <v>0</v>
      </c>
      <c r="I15" s="221"/>
      <c r="J15" s="226"/>
      <c r="K15" s="226"/>
      <c r="L15" s="221">
        <f t="shared" si="0"/>
        <v>664609</v>
      </c>
      <c r="M15" s="221">
        <f t="shared" si="2"/>
        <v>0</v>
      </c>
      <c r="N15" s="221">
        <v>0</v>
      </c>
      <c r="O15" s="221">
        <v>0</v>
      </c>
      <c r="P15" s="221"/>
      <c r="Q15" s="221"/>
      <c r="R15" s="213"/>
      <c r="S15" s="218"/>
      <c r="T15" s="218"/>
      <c r="U15" s="218"/>
      <c r="V15" s="184"/>
      <c r="W15" s="184"/>
      <c r="Y15" s="192"/>
      <c r="Z15" s="193"/>
      <c r="AA15" s="184"/>
      <c r="AB15" s="184"/>
      <c r="AC15" s="184"/>
      <c r="AD15" s="195"/>
      <c r="AF15" s="195">
        <f t="shared" si="1"/>
        <v>0</v>
      </c>
      <c r="AG15" s="195"/>
      <c r="AH15" s="184">
        <v>16</v>
      </c>
      <c r="AI15" s="194"/>
      <c r="AJ15" s="194">
        <v>161371.20000000001</v>
      </c>
    </row>
    <row r="16" spans="1:36" x14ac:dyDescent="0.25">
      <c r="B16" s="184" t="s">
        <v>209</v>
      </c>
      <c r="C16" s="212">
        <v>551730</v>
      </c>
      <c r="D16" s="213"/>
      <c r="E16" s="213"/>
      <c r="F16" s="100"/>
      <c r="G16" s="222">
        <f>[1]FSU!F8</f>
        <v>551730</v>
      </c>
      <c r="H16" s="223">
        <f>[1]FSU!H8</f>
        <v>0</v>
      </c>
      <c r="I16" s="221"/>
      <c r="J16" s="226"/>
      <c r="K16" s="226"/>
      <c r="L16" s="221">
        <f t="shared" si="0"/>
        <v>551730</v>
      </c>
      <c r="M16" s="221">
        <f t="shared" si="2"/>
        <v>0</v>
      </c>
      <c r="N16" s="221">
        <v>0</v>
      </c>
      <c r="O16" s="221">
        <v>0</v>
      </c>
      <c r="P16" s="221"/>
      <c r="Q16" s="221"/>
      <c r="R16" s="213"/>
      <c r="S16" s="218"/>
      <c r="T16" s="218"/>
      <c r="U16" s="218"/>
      <c r="V16" s="184"/>
      <c r="W16" s="184"/>
      <c r="Y16" s="192"/>
      <c r="Z16" s="193"/>
      <c r="AA16" s="184"/>
      <c r="AB16" s="184"/>
      <c r="AC16" s="184"/>
      <c r="AD16" s="195"/>
      <c r="AF16" s="195">
        <f t="shared" si="1"/>
        <v>0</v>
      </c>
      <c r="AG16" s="195"/>
      <c r="AH16" s="184">
        <v>17</v>
      </c>
      <c r="AI16" s="194"/>
      <c r="AJ16" s="194">
        <v>328929.98999999993</v>
      </c>
    </row>
    <row r="17" spans="1:36" x14ac:dyDescent="0.25">
      <c r="B17" s="184" t="s">
        <v>210</v>
      </c>
      <c r="C17" s="212">
        <v>961364</v>
      </c>
      <c r="D17" s="213"/>
      <c r="E17" s="213"/>
      <c r="F17" s="214"/>
      <c r="G17" s="222">
        <f>[1]SU!F8</f>
        <v>961364</v>
      </c>
      <c r="H17" s="223">
        <f>[1]SU!H8</f>
        <v>0</v>
      </c>
      <c r="I17" s="221"/>
      <c r="J17" s="226"/>
      <c r="K17" s="226"/>
      <c r="L17" s="221">
        <f t="shared" si="0"/>
        <v>961364</v>
      </c>
      <c r="M17" s="221">
        <f t="shared" si="2"/>
        <v>0</v>
      </c>
      <c r="N17" s="221">
        <v>0</v>
      </c>
      <c r="O17" s="221">
        <v>0</v>
      </c>
      <c r="P17" s="221"/>
      <c r="Q17" s="221"/>
      <c r="R17" s="213"/>
      <c r="S17" s="218"/>
      <c r="T17" s="218"/>
      <c r="U17" s="218"/>
      <c r="V17" s="184"/>
      <c r="W17" s="184"/>
      <c r="Y17" s="192"/>
      <c r="Z17" s="193"/>
      <c r="AA17" s="184"/>
      <c r="AB17" s="184"/>
      <c r="AC17" s="184"/>
      <c r="AD17" s="195"/>
      <c r="AF17" s="195">
        <f t="shared" si="1"/>
        <v>0</v>
      </c>
      <c r="AG17" s="195"/>
      <c r="AH17" s="184">
        <v>18</v>
      </c>
      <c r="AI17" s="194"/>
      <c r="AJ17" s="194">
        <v>0</v>
      </c>
    </row>
    <row r="18" spans="1:36" x14ac:dyDescent="0.25">
      <c r="B18" s="184" t="s">
        <v>211</v>
      </c>
      <c r="C18" s="212">
        <f>1250000+425791+400000</f>
        <v>2075791</v>
      </c>
      <c r="D18" s="213"/>
      <c r="E18" s="213"/>
      <c r="F18" s="214"/>
      <c r="G18" s="222">
        <f>[1]TU!F8+[1]TU!F13+[1]TU!F18</f>
        <v>2075791</v>
      </c>
      <c r="H18" s="223">
        <f>[1]TU!H8+[1]TU!H13+[1]TU!H18</f>
        <v>0</v>
      </c>
      <c r="I18" s="221"/>
      <c r="J18" s="226"/>
      <c r="K18" s="226"/>
      <c r="L18" s="221">
        <f t="shared" si="0"/>
        <v>2075791</v>
      </c>
      <c r="M18" s="221">
        <f t="shared" si="2"/>
        <v>0</v>
      </c>
      <c r="N18" s="221">
        <v>0</v>
      </c>
      <c r="O18" s="221">
        <v>0</v>
      </c>
      <c r="P18" s="221"/>
      <c r="Q18" s="221"/>
      <c r="R18" s="213"/>
      <c r="S18" s="218"/>
      <c r="T18" s="218"/>
      <c r="U18" s="218"/>
      <c r="V18" s="184"/>
      <c r="W18" s="184"/>
      <c r="Y18" s="192"/>
      <c r="Z18" s="193"/>
      <c r="AA18" s="184"/>
      <c r="AB18" s="184"/>
      <c r="AC18" s="184"/>
      <c r="AD18" s="195"/>
      <c r="AF18" s="195">
        <f>C18+D18+E18-F18-G18</f>
        <v>0</v>
      </c>
      <c r="AG18" s="195"/>
      <c r="AH18" s="184">
        <v>19</v>
      </c>
      <c r="AI18" s="194"/>
      <c r="AJ18" s="194">
        <v>0</v>
      </c>
    </row>
    <row r="19" spans="1:36" x14ac:dyDescent="0.25">
      <c r="B19" s="184" t="s">
        <v>212</v>
      </c>
      <c r="C19" s="212">
        <v>654937</v>
      </c>
      <c r="D19" s="213"/>
      <c r="E19" s="213"/>
      <c r="F19" s="214"/>
      <c r="G19" s="222">
        <f>[1]UB!F42</f>
        <v>654937</v>
      </c>
      <c r="H19" s="223">
        <f>[1]UB!H42</f>
        <v>0</v>
      </c>
      <c r="I19" s="221"/>
      <c r="J19" s="226"/>
      <c r="K19" s="226"/>
      <c r="L19" s="221">
        <f t="shared" si="0"/>
        <v>654937</v>
      </c>
      <c r="M19" s="221">
        <f t="shared" si="2"/>
        <v>0</v>
      </c>
      <c r="N19" s="221">
        <v>0</v>
      </c>
      <c r="O19" s="221">
        <v>0</v>
      </c>
      <c r="P19" s="221"/>
      <c r="Q19" s="221"/>
      <c r="R19" s="213"/>
      <c r="S19" s="218"/>
      <c r="T19" s="218"/>
      <c r="U19" s="218"/>
      <c r="V19" s="184"/>
      <c r="W19" s="184"/>
      <c r="Y19" s="192"/>
      <c r="Z19" s="193"/>
      <c r="AA19" s="184"/>
      <c r="AB19" s="184"/>
      <c r="AC19" s="184"/>
      <c r="AD19" s="195"/>
      <c r="AF19" s="195">
        <f t="shared" si="1"/>
        <v>0</v>
      </c>
      <c r="AG19" s="195"/>
      <c r="AH19" s="184">
        <v>20</v>
      </c>
      <c r="AI19" s="194"/>
      <c r="AJ19" s="194">
        <v>0</v>
      </c>
    </row>
    <row r="20" spans="1:36" x14ac:dyDescent="0.25">
      <c r="B20" s="184" t="s">
        <v>213</v>
      </c>
      <c r="C20" s="212">
        <v>431976</v>
      </c>
      <c r="D20" s="213"/>
      <c r="E20" s="213"/>
      <c r="F20" s="214"/>
      <c r="G20" s="222">
        <f>'[1]USM &amp; COI'!G62</f>
        <v>431976</v>
      </c>
      <c r="H20" s="223">
        <f>'[1]USM &amp; COI'!H62</f>
        <v>0</v>
      </c>
      <c r="I20" s="221"/>
      <c r="J20" s="226"/>
      <c r="K20" s="226"/>
      <c r="L20" s="221">
        <f t="shared" si="0"/>
        <v>431976</v>
      </c>
      <c r="M20" s="221">
        <f t="shared" si="2"/>
        <v>0</v>
      </c>
      <c r="N20" s="221">
        <v>0</v>
      </c>
      <c r="O20" s="221">
        <v>0</v>
      </c>
      <c r="P20" s="221"/>
      <c r="Q20" s="221"/>
      <c r="R20" s="213"/>
      <c r="S20" s="218"/>
      <c r="T20" s="218"/>
      <c r="U20" s="218"/>
      <c r="V20" s="184"/>
      <c r="W20" s="184"/>
      <c r="Y20" s="192"/>
      <c r="Z20" s="193"/>
      <c r="AA20" s="184"/>
      <c r="AB20" s="184"/>
      <c r="AC20" s="184"/>
      <c r="AD20" s="195"/>
      <c r="AF20" s="195">
        <f t="shared" si="1"/>
        <v>0</v>
      </c>
      <c r="AG20" s="195"/>
      <c r="AI20" s="194"/>
      <c r="AJ20" s="194"/>
    </row>
    <row r="21" spans="1:36" x14ac:dyDescent="0.25">
      <c r="B21" s="184" t="s">
        <v>214</v>
      </c>
      <c r="C21" s="212">
        <v>45627</v>
      </c>
      <c r="D21" s="213"/>
      <c r="E21" s="213"/>
      <c r="F21" s="214"/>
      <c r="G21" s="222">
        <f>'[1]USM &amp; COI'!G67</f>
        <v>45627</v>
      </c>
      <c r="H21" s="223">
        <f>'[1]USM &amp; COI'!H67</f>
        <v>0</v>
      </c>
      <c r="I21" s="221"/>
      <c r="J21" s="226"/>
      <c r="K21" s="226"/>
      <c r="L21" s="221">
        <f t="shared" si="0"/>
        <v>45627</v>
      </c>
      <c r="M21" s="221">
        <f t="shared" si="2"/>
        <v>0</v>
      </c>
      <c r="N21" s="221">
        <v>0</v>
      </c>
      <c r="O21" s="221">
        <v>0</v>
      </c>
      <c r="P21" s="221"/>
      <c r="Q21" s="221"/>
      <c r="R21" s="213"/>
      <c r="S21" s="218"/>
      <c r="T21" s="218"/>
      <c r="U21" s="218"/>
      <c r="V21" s="184"/>
      <c r="W21" s="184"/>
      <c r="Y21" s="192"/>
      <c r="Z21" s="193"/>
      <c r="AA21" s="184"/>
      <c r="AB21" s="184"/>
      <c r="AC21" s="184"/>
      <c r="AD21" s="195"/>
      <c r="AF21" s="195">
        <f t="shared" si="1"/>
        <v>0</v>
      </c>
      <c r="AG21" s="195"/>
      <c r="AI21" s="194"/>
      <c r="AJ21" s="194"/>
    </row>
    <row r="22" spans="1:36" x14ac:dyDescent="0.25">
      <c r="B22" s="184" t="s">
        <v>215</v>
      </c>
      <c r="C22" s="212">
        <v>59858</v>
      </c>
      <c r="D22" s="213"/>
      <c r="E22" s="213"/>
      <c r="F22" s="214"/>
      <c r="G22" s="222">
        <f>'[1]USM &amp; COI'!G72</f>
        <v>59858</v>
      </c>
      <c r="H22" s="223">
        <f>'[1]USM &amp; COI'!H72</f>
        <v>0</v>
      </c>
      <c r="I22" s="221"/>
      <c r="J22" s="226"/>
      <c r="K22" s="226"/>
      <c r="L22" s="221">
        <f t="shared" si="0"/>
        <v>59858</v>
      </c>
      <c r="M22" s="221">
        <f t="shared" si="2"/>
        <v>0</v>
      </c>
      <c r="N22" s="221">
        <v>0</v>
      </c>
      <c r="O22" s="221">
        <v>0</v>
      </c>
      <c r="P22" s="221"/>
      <c r="Q22" s="221"/>
      <c r="R22" s="213"/>
      <c r="S22" s="218"/>
      <c r="T22" s="218"/>
      <c r="U22" s="218"/>
      <c r="V22" s="184"/>
      <c r="W22" s="184"/>
      <c r="Y22" s="192"/>
      <c r="Z22" s="193"/>
      <c r="AA22" s="184"/>
      <c r="AB22" s="184"/>
      <c r="AC22" s="184"/>
      <c r="AD22" s="195"/>
      <c r="AF22" s="195">
        <f t="shared" si="1"/>
        <v>0</v>
      </c>
      <c r="AG22" s="195"/>
      <c r="AI22" s="194"/>
      <c r="AJ22" s="194"/>
    </row>
    <row r="23" spans="1:36" x14ac:dyDescent="0.25">
      <c r="B23" s="224" t="s">
        <v>216</v>
      </c>
      <c r="C23" s="212">
        <f>500000</f>
        <v>500000</v>
      </c>
      <c r="D23" s="213"/>
      <c r="E23" s="221"/>
      <c r="F23" s="214"/>
      <c r="G23" s="222">
        <f>'[1]Emergency Funds'!G8</f>
        <v>500000</v>
      </c>
      <c r="H23" s="223">
        <f>'[1]Emergency Funds'!H8</f>
        <v>0</v>
      </c>
      <c r="I23" s="221"/>
      <c r="J23" s="226"/>
      <c r="K23" s="226"/>
      <c r="L23" s="221">
        <f t="shared" si="0"/>
        <v>500000</v>
      </c>
      <c r="M23" s="221">
        <f t="shared" si="2"/>
        <v>0</v>
      </c>
      <c r="N23" s="221">
        <v>0</v>
      </c>
      <c r="O23" s="221">
        <v>0</v>
      </c>
      <c r="P23" s="221"/>
      <c r="Q23" s="221"/>
      <c r="R23" s="213"/>
      <c r="S23" s="218"/>
      <c r="T23" s="218"/>
      <c r="U23" s="218"/>
      <c r="V23" s="184"/>
      <c r="W23" s="184"/>
      <c r="Y23" s="192"/>
      <c r="Z23" s="193"/>
      <c r="AA23" s="184"/>
      <c r="AB23" s="184"/>
      <c r="AC23" s="184"/>
      <c r="AD23" s="195"/>
      <c r="AF23" s="195">
        <f t="shared" si="1"/>
        <v>0</v>
      </c>
      <c r="AG23" s="195"/>
      <c r="AH23" s="184">
        <v>21</v>
      </c>
      <c r="AI23" s="194"/>
      <c r="AJ23" s="194"/>
    </row>
    <row r="24" spans="1:36" x14ac:dyDescent="0.25">
      <c r="C24" s="212"/>
      <c r="D24" s="213"/>
      <c r="E24" s="213"/>
      <c r="F24" s="214"/>
      <c r="G24" s="215"/>
      <c r="H24" s="216"/>
      <c r="I24" s="213"/>
      <c r="J24" s="217"/>
      <c r="K24" s="217"/>
      <c r="L24" s="213"/>
      <c r="M24" s="213"/>
      <c r="N24" s="213"/>
      <c r="O24" s="213"/>
      <c r="P24" s="213"/>
      <c r="Q24" s="213"/>
      <c r="R24" s="213"/>
      <c r="S24" s="218"/>
      <c r="T24" s="218"/>
      <c r="U24" s="218"/>
      <c r="V24" s="184"/>
      <c r="W24" s="184"/>
      <c r="Y24" s="192"/>
      <c r="Z24" s="193"/>
      <c r="AA24" s="184"/>
      <c r="AB24" s="184"/>
      <c r="AC24" s="184"/>
      <c r="AD24" s="195"/>
      <c r="AF24" s="195"/>
      <c r="AG24" s="195"/>
      <c r="AH24" s="184">
        <v>25</v>
      </c>
      <c r="AI24" s="194"/>
      <c r="AJ24" s="194"/>
    </row>
    <row r="25" spans="1:36" ht="13.8" thickBot="1" x14ac:dyDescent="0.3">
      <c r="B25" s="227" t="s">
        <v>217</v>
      </c>
      <c r="C25" s="228">
        <f t="shared" ref="C25:Q25" si="3">SUM(C7:C24)</f>
        <v>30000000</v>
      </c>
      <c r="D25" s="228">
        <f t="shared" si="3"/>
        <v>0</v>
      </c>
      <c r="E25" s="228">
        <f t="shared" si="3"/>
        <v>0</v>
      </c>
      <c r="F25" s="228">
        <f t="shared" si="3"/>
        <v>0</v>
      </c>
      <c r="G25" s="228">
        <f t="shared" si="3"/>
        <v>30000000</v>
      </c>
      <c r="H25" s="228">
        <f t="shared" si="3"/>
        <v>40614.199999999997</v>
      </c>
      <c r="I25" s="228">
        <f t="shared" si="3"/>
        <v>0</v>
      </c>
      <c r="J25" s="228">
        <f t="shared" si="3"/>
        <v>0</v>
      </c>
      <c r="K25" s="228">
        <f t="shared" si="3"/>
        <v>0</v>
      </c>
      <c r="L25" s="228">
        <f t="shared" si="3"/>
        <v>29959385.800000001</v>
      </c>
      <c r="M25" s="228">
        <f t="shared" si="3"/>
        <v>40614.199999999997</v>
      </c>
      <c r="N25" s="228">
        <f t="shared" si="3"/>
        <v>0</v>
      </c>
      <c r="O25" s="228">
        <f t="shared" si="3"/>
        <v>0</v>
      </c>
      <c r="P25" s="228">
        <f t="shared" si="3"/>
        <v>0</v>
      </c>
      <c r="Q25" s="228">
        <f t="shared" si="3"/>
        <v>0</v>
      </c>
      <c r="R25" s="212"/>
      <c r="S25" s="218"/>
      <c r="T25" s="218"/>
      <c r="U25" s="218"/>
      <c r="V25" s="184"/>
      <c r="W25" s="184"/>
      <c r="X25" s="227" t="s">
        <v>218</v>
      </c>
      <c r="Y25" s="192">
        <v>22</v>
      </c>
      <c r="Z25" s="193"/>
      <c r="AA25" s="184"/>
      <c r="AB25" s="184"/>
      <c r="AC25" s="184"/>
      <c r="AD25" s="228" t="e">
        <f>SUM(#REF!)</f>
        <v>#REF!</v>
      </c>
      <c r="AE25" s="228" t="e">
        <f>SUM(#REF!)</f>
        <v>#REF!</v>
      </c>
      <c r="AF25" s="228"/>
      <c r="AG25" s="228"/>
      <c r="AH25" s="184">
        <v>26</v>
      </c>
      <c r="AI25" s="194"/>
      <c r="AJ25" s="194">
        <v>2910571.3200000003</v>
      </c>
    </row>
    <row r="26" spans="1:36" ht="13.8" thickTop="1" x14ac:dyDescent="0.25">
      <c r="C26" s="212"/>
      <c r="D26" s="213"/>
      <c r="E26" s="213"/>
      <c r="F26" s="214"/>
      <c r="G26" s="215"/>
      <c r="H26" s="216"/>
      <c r="I26" s="213"/>
      <c r="J26" s="217"/>
      <c r="K26" s="217"/>
      <c r="L26" s="213"/>
      <c r="M26" s="213"/>
      <c r="N26" s="213"/>
      <c r="O26" s="213"/>
      <c r="AA26" s="195"/>
      <c r="AB26" s="195"/>
      <c r="AC26" s="195"/>
      <c r="AD26" s="195"/>
    </row>
    <row r="27" spans="1:36" x14ac:dyDescent="0.25">
      <c r="A27" s="219" t="s">
        <v>219</v>
      </c>
      <c r="B27" s="220"/>
      <c r="C27" s="212"/>
      <c r="D27" s="213"/>
      <c r="E27" s="213"/>
      <c r="F27" s="221"/>
      <c r="G27" s="222"/>
      <c r="H27" s="223"/>
      <c r="I27" s="222"/>
      <c r="J27" s="222"/>
      <c r="K27" s="222"/>
      <c r="L27" s="221"/>
      <c r="M27" s="221"/>
      <c r="N27" s="221"/>
      <c r="O27" s="221"/>
      <c r="P27" s="221"/>
      <c r="Q27" s="221"/>
      <c r="R27" s="213"/>
      <c r="S27" s="218"/>
      <c r="T27" s="218"/>
      <c r="U27" s="218"/>
      <c r="V27" s="184"/>
      <c r="W27" s="224" t="s">
        <v>198</v>
      </c>
      <c r="Y27" s="192">
        <v>5</v>
      </c>
      <c r="Z27" s="193"/>
      <c r="AA27" s="184"/>
      <c r="AB27" s="184"/>
      <c r="AC27" s="184"/>
      <c r="AE27" s="194"/>
      <c r="AF27" s="194"/>
      <c r="AG27" s="194"/>
      <c r="AH27" s="184">
        <v>6</v>
      </c>
      <c r="AI27" s="194"/>
      <c r="AJ27" s="194"/>
    </row>
    <row r="28" spans="1:36" x14ac:dyDescent="0.25">
      <c r="B28" s="184" t="s">
        <v>199</v>
      </c>
      <c r="C28" s="212">
        <v>2500000</v>
      </c>
      <c r="D28" s="213"/>
      <c r="E28" s="213"/>
      <c r="F28" s="225">
        <f>293257.32+54612.37</f>
        <v>347869.69</v>
      </c>
      <c r="G28" s="222">
        <f>[1]UMCP!F140</f>
        <v>2152130.31</v>
      </c>
      <c r="H28" s="223">
        <f>[1]UMCP!H140</f>
        <v>309701.17000000004</v>
      </c>
      <c r="I28" s="221"/>
      <c r="J28" s="226">
        <f>[2]UMCP!J471</f>
        <v>0</v>
      </c>
      <c r="K28" s="226">
        <f>[2]UMCP!K471</f>
        <v>0</v>
      </c>
      <c r="L28" s="221">
        <f t="shared" ref="L28:L45" si="4">G28-H28-I28-J28-K28</f>
        <v>1842429.1400000001</v>
      </c>
      <c r="M28" s="221">
        <f t="shared" ref="M28:M45" si="5">H28-N28-O28</f>
        <v>141928.54000000004</v>
      </c>
      <c r="N28" s="221">
        <v>167772.63</v>
      </c>
      <c r="O28" s="221">
        <v>0</v>
      </c>
      <c r="P28" s="221"/>
      <c r="Q28" s="221"/>
      <c r="R28" s="213"/>
      <c r="S28" s="218"/>
      <c r="T28" s="218"/>
      <c r="U28" s="218"/>
      <c r="V28" s="184"/>
      <c r="W28" s="184"/>
      <c r="Y28" s="192"/>
      <c r="Z28" s="193"/>
      <c r="AA28" s="184"/>
      <c r="AB28" s="184"/>
      <c r="AC28" s="184"/>
      <c r="AD28" s="195"/>
      <c r="AF28" s="195">
        <f t="shared" ref="AF28:AF45" si="6">C28+D28+E28-F28-G28</f>
        <v>0</v>
      </c>
      <c r="AG28" s="195"/>
      <c r="AH28" s="184">
        <v>7</v>
      </c>
      <c r="AI28" s="195" t="s">
        <v>200</v>
      </c>
      <c r="AJ28" s="194">
        <v>0</v>
      </c>
    </row>
    <row r="29" spans="1:36" x14ac:dyDescent="0.25">
      <c r="B29" s="184" t="s">
        <v>220</v>
      </c>
      <c r="C29" s="212">
        <v>2192000</v>
      </c>
      <c r="D29" s="213"/>
      <c r="E29" s="213"/>
      <c r="F29" s="214"/>
      <c r="G29" s="222">
        <f>[1]UMES!F129</f>
        <v>2192000</v>
      </c>
      <c r="H29" s="223">
        <f>[1]UMES!H129</f>
        <v>0</v>
      </c>
      <c r="I29" s="221"/>
      <c r="J29" s="226">
        <f>[2]UMES!J242</f>
        <v>0</v>
      </c>
      <c r="K29" s="226">
        <f>[2]UMES!K242</f>
        <v>0</v>
      </c>
      <c r="L29" s="221">
        <f t="shared" si="4"/>
        <v>2192000</v>
      </c>
      <c r="M29" s="221">
        <f t="shared" si="5"/>
        <v>0</v>
      </c>
      <c r="N29" s="221">
        <v>0</v>
      </c>
      <c r="O29" s="221">
        <v>0</v>
      </c>
      <c r="P29" s="221"/>
      <c r="Q29" s="221"/>
      <c r="R29" s="213"/>
      <c r="S29" s="218"/>
      <c r="T29" s="218"/>
      <c r="U29" s="218"/>
      <c r="V29" s="184"/>
      <c r="W29" s="184"/>
      <c r="Y29" s="192"/>
      <c r="Z29" s="193"/>
      <c r="AA29" s="184"/>
      <c r="AB29" s="184"/>
      <c r="AC29" s="184"/>
      <c r="AD29" s="195"/>
      <c r="AF29" s="195">
        <f t="shared" si="6"/>
        <v>0</v>
      </c>
      <c r="AG29" s="195"/>
      <c r="AH29" s="184">
        <v>8</v>
      </c>
      <c r="AI29" s="195" t="s">
        <v>200</v>
      </c>
      <c r="AJ29" s="194">
        <v>0</v>
      </c>
    </row>
    <row r="30" spans="1:36" x14ac:dyDescent="0.25">
      <c r="B30" s="224" t="s">
        <v>201</v>
      </c>
      <c r="C30" s="212"/>
      <c r="D30" s="213"/>
      <c r="E30" s="213"/>
      <c r="F30" s="214"/>
      <c r="G30" s="222"/>
      <c r="H30" s="223"/>
      <c r="I30" s="221"/>
      <c r="J30" s="226"/>
      <c r="K30" s="226"/>
      <c r="L30" s="221">
        <f t="shared" si="4"/>
        <v>0</v>
      </c>
      <c r="M30" s="221"/>
      <c r="N30" s="221"/>
      <c r="O30" s="221">
        <f>H30+J30+K30-P30-Q30</f>
        <v>0</v>
      </c>
      <c r="P30" s="221"/>
      <c r="Q30" s="221"/>
      <c r="R30" s="213"/>
      <c r="S30" s="218"/>
      <c r="T30" s="218"/>
      <c r="U30" s="218"/>
      <c r="V30" s="184"/>
      <c r="W30" s="184"/>
      <c r="Y30" s="192"/>
      <c r="Z30" s="193"/>
      <c r="AA30" s="184"/>
      <c r="AB30" s="184"/>
      <c r="AC30" s="184"/>
      <c r="AD30" s="195"/>
      <c r="AF30" s="195">
        <f t="shared" si="6"/>
        <v>0</v>
      </c>
      <c r="AG30" s="195"/>
      <c r="AH30" s="184">
        <v>9</v>
      </c>
      <c r="AI30" s="194"/>
      <c r="AJ30" s="194"/>
    </row>
    <row r="31" spans="1:36" x14ac:dyDescent="0.25">
      <c r="B31" s="184" t="s">
        <v>202</v>
      </c>
      <c r="C31" s="212">
        <f>300000+2652191+1000000+700000+1300000+290000+150000+510000+975000+900000+700000</f>
        <v>9477191</v>
      </c>
      <c r="D31" s="213"/>
      <c r="E31" s="213"/>
      <c r="F31" s="100">
        <f>2200211.31+1345.5+9664</f>
        <v>2211220.81</v>
      </c>
      <c r="G31" s="222">
        <f>[1]UMCP!F64</f>
        <v>7265970.1899999995</v>
      </c>
      <c r="H31" s="223">
        <f>[1]UMCP!H64</f>
        <v>5213380.0100000016</v>
      </c>
      <c r="I31" s="221"/>
      <c r="J31" s="226">
        <f>[2]UMCP!J65</f>
        <v>0</v>
      </c>
      <c r="K31" s="226">
        <f>[2]UMCP!K65</f>
        <v>0</v>
      </c>
      <c r="L31" s="221">
        <f t="shared" si="4"/>
        <v>2052590.1799999978</v>
      </c>
      <c r="M31" s="221">
        <f t="shared" si="5"/>
        <v>202549.12000000104</v>
      </c>
      <c r="N31" s="221">
        <v>5010830.8900000006</v>
      </c>
      <c r="O31" s="221">
        <v>0</v>
      </c>
      <c r="P31" s="221"/>
      <c r="Q31" s="221"/>
      <c r="R31" s="213"/>
      <c r="S31" s="218"/>
      <c r="T31" s="218"/>
      <c r="U31" s="218"/>
      <c r="V31" s="184"/>
      <c r="W31" s="184"/>
      <c r="Y31" s="192"/>
      <c r="Z31" s="193"/>
      <c r="AA31" s="184"/>
      <c r="AB31" s="184"/>
      <c r="AC31" s="184"/>
      <c r="AD31" s="195"/>
      <c r="AF31" s="195">
        <f t="shared" si="6"/>
        <v>0</v>
      </c>
      <c r="AG31" s="195"/>
      <c r="AH31" s="184">
        <v>10</v>
      </c>
      <c r="AI31" s="194"/>
      <c r="AJ31" s="194">
        <v>2420270.1300000004</v>
      </c>
    </row>
    <row r="32" spans="1:36" x14ac:dyDescent="0.25">
      <c r="B32" s="184" t="s">
        <v>203</v>
      </c>
      <c r="C32" s="212">
        <f>990000+990000+990000+827264+1199136</f>
        <v>4996400</v>
      </c>
      <c r="D32" s="213"/>
      <c r="E32" s="213"/>
      <c r="F32" s="214"/>
      <c r="G32" s="222">
        <f>[1]UMB!F22</f>
        <v>4996400</v>
      </c>
      <c r="H32" s="223">
        <f>[1]UMB!H22</f>
        <v>0</v>
      </c>
      <c r="I32" s="221"/>
      <c r="J32" s="226">
        <f>[2]UMB!J88</f>
        <v>0</v>
      </c>
      <c r="K32" s="226">
        <f>[2]UMB!K88</f>
        <v>0</v>
      </c>
      <c r="L32" s="221">
        <f t="shared" si="4"/>
        <v>4996400</v>
      </c>
      <c r="M32" s="221">
        <f t="shared" si="5"/>
        <v>0</v>
      </c>
      <c r="N32" s="221">
        <v>0</v>
      </c>
      <c r="O32" s="221">
        <v>0</v>
      </c>
      <c r="P32" s="221"/>
      <c r="Q32" s="221"/>
      <c r="R32" s="213"/>
      <c r="S32" s="218"/>
      <c r="T32" s="218"/>
      <c r="U32" s="218"/>
      <c r="V32" s="184"/>
      <c r="W32" s="184"/>
      <c r="Y32" s="192"/>
      <c r="Z32" s="193"/>
      <c r="AA32" s="184"/>
      <c r="AB32" s="184"/>
      <c r="AC32" s="184"/>
      <c r="AD32" s="195"/>
      <c r="AF32" s="195">
        <f t="shared" si="6"/>
        <v>0</v>
      </c>
      <c r="AG32" s="195"/>
      <c r="AH32" s="184">
        <v>11</v>
      </c>
      <c r="AI32" s="194"/>
      <c r="AJ32" s="194">
        <v>0</v>
      </c>
    </row>
    <row r="33" spans="2:36" x14ac:dyDescent="0.25">
      <c r="B33" s="184" t="s">
        <v>204</v>
      </c>
      <c r="C33" s="212">
        <v>1301342</v>
      </c>
      <c r="D33" s="213"/>
      <c r="E33" s="213"/>
      <c r="F33" s="100">
        <f>277763+130204</f>
        <v>407967</v>
      </c>
      <c r="G33" s="222">
        <f>[1]UMES!F54</f>
        <v>893375</v>
      </c>
      <c r="H33" s="223">
        <f>[1]UMES!H54</f>
        <v>404147</v>
      </c>
      <c r="I33" s="221"/>
      <c r="J33" s="226">
        <f>[2]UMES!J58</f>
        <v>0</v>
      </c>
      <c r="K33" s="226">
        <f>[2]UMES!K58</f>
        <v>0</v>
      </c>
      <c r="L33" s="221">
        <f t="shared" si="4"/>
        <v>489228</v>
      </c>
      <c r="M33" s="221">
        <f t="shared" si="5"/>
        <v>269467</v>
      </c>
      <c r="N33" s="221">
        <v>134680</v>
      </c>
      <c r="O33" s="221">
        <v>0</v>
      </c>
      <c r="P33" s="221"/>
      <c r="Q33" s="221"/>
      <c r="R33" s="213"/>
      <c r="S33" s="218"/>
      <c r="T33" s="218"/>
      <c r="U33" s="218"/>
      <c r="V33" s="184"/>
      <c r="W33" s="184"/>
      <c r="Y33" s="192"/>
      <c r="Z33" s="193"/>
      <c r="AA33" s="184"/>
      <c r="AB33" s="184"/>
      <c r="AC33" s="184"/>
      <c r="AD33" s="195"/>
      <c r="AF33" s="195">
        <f t="shared" si="6"/>
        <v>0</v>
      </c>
      <c r="AG33" s="195"/>
      <c r="AH33" s="184">
        <v>12</v>
      </c>
      <c r="AI33" s="194"/>
      <c r="AJ33" s="194">
        <v>0</v>
      </c>
    </row>
    <row r="34" spans="2:36" x14ac:dyDescent="0.25">
      <c r="B34" s="184" t="s">
        <v>205</v>
      </c>
      <c r="C34" s="212">
        <v>2341242</v>
      </c>
      <c r="D34" s="213"/>
      <c r="E34" s="213"/>
      <c r="F34" s="214"/>
      <c r="G34" s="222">
        <f>[1]UMBC!F13</f>
        <v>2341242</v>
      </c>
      <c r="H34" s="223">
        <f>[1]UMBC!H13</f>
        <v>0</v>
      </c>
      <c r="I34" s="221"/>
      <c r="J34" s="226">
        <f>[2]UMBC!J27</f>
        <v>0</v>
      </c>
      <c r="K34" s="226">
        <f>[2]UMBC!K27</f>
        <v>0</v>
      </c>
      <c r="L34" s="221">
        <f t="shared" si="4"/>
        <v>2341242</v>
      </c>
      <c r="M34" s="221">
        <f t="shared" si="5"/>
        <v>0</v>
      </c>
      <c r="N34" s="221">
        <v>0</v>
      </c>
      <c r="O34" s="221">
        <v>0</v>
      </c>
      <c r="P34" s="221"/>
      <c r="Q34" s="221"/>
      <c r="R34" s="213"/>
      <c r="S34" s="218"/>
      <c r="T34" s="218"/>
      <c r="U34" s="218"/>
      <c r="V34" s="184"/>
      <c r="W34" s="184"/>
      <c r="Y34" s="192"/>
      <c r="Z34" s="193"/>
      <c r="AA34" s="184"/>
      <c r="AB34" s="184"/>
      <c r="AC34" s="184"/>
      <c r="AD34" s="195"/>
      <c r="AF34" s="195">
        <f t="shared" si="6"/>
        <v>0</v>
      </c>
      <c r="AG34" s="195"/>
      <c r="AH34" s="184">
        <v>13</v>
      </c>
      <c r="AI34" s="194"/>
      <c r="AJ34" s="194">
        <v>0</v>
      </c>
    </row>
    <row r="35" spans="2:36" x14ac:dyDescent="0.25">
      <c r="B35" s="184" t="s">
        <v>206</v>
      </c>
      <c r="C35" s="212">
        <v>358037</v>
      </c>
      <c r="D35" s="213"/>
      <c r="E35" s="213"/>
      <c r="F35" s="214"/>
      <c r="G35" s="222">
        <f>[1]UMCES!F13</f>
        <v>358037</v>
      </c>
      <c r="H35" s="223">
        <f>[1]UMCES!H13</f>
        <v>0</v>
      </c>
      <c r="I35" s="221"/>
      <c r="J35" s="226">
        <f>[2]UMCES!J67</f>
        <v>0</v>
      </c>
      <c r="K35" s="226">
        <f>[2]UMCES!K67</f>
        <v>0</v>
      </c>
      <c r="L35" s="221">
        <f t="shared" si="4"/>
        <v>358037</v>
      </c>
      <c r="M35" s="221">
        <f t="shared" si="5"/>
        <v>0</v>
      </c>
      <c r="N35" s="221">
        <v>0</v>
      </c>
      <c r="O35" s="221">
        <v>0</v>
      </c>
      <c r="P35" s="221"/>
      <c r="Q35" s="221"/>
      <c r="R35" s="213"/>
      <c r="S35" s="218"/>
      <c r="T35" s="218"/>
      <c r="U35" s="218"/>
      <c r="V35" s="184"/>
      <c r="W35" s="184"/>
      <c r="Y35" s="192"/>
      <c r="Z35" s="193"/>
      <c r="AA35" s="184"/>
      <c r="AB35" s="184"/>
      <c r="AC35" s="184"/>
      <c r="AD35" s="195"/>
      <c r="AF35" s="195">
        <f t="shared" si="6"/>
        <v>0</v>
      </c>
      <c r="AG35" s="195"/>
      <c r="AH35" s="184">
        <v>14</v>
      </c>
      <c r="AI35" s="194"/>
      <c r="AJ35" s="194">
        <v>0</v>
      </c>
    </row>
    <row r="36" spans="2:36" x14ac:dyDescent="0.25">
      <c r="B36" s="184" t="s">
        <v>207</v>
      </c>
      <c r="C36" s="212">
        <v>857383</v>
      </c>
      <c r="D36" s="213"/>
      <c r="E36" s="213"/>
      <c r="F36" s="214"/>
      <c r="G36" s="222">
        <f>[1]BSU!F17</f>
        <v>857383</v>
      </c>
      <c r="H36" s="223">
        <f>[1]BSU!H17</f>
        <v>309815.93</v>
      </c>
      <c r="I36" s="221"/>
      <c r="J36" s="226">
        <f>[2]BSU!J30</f>
        <v>0</v>
      </c>
      <c r="K36" s="226">
        <f>[2]BSU!K30</f>
        <v>0</v>
      </c>
      <c r="L36" s="221">
        <f t="shared" si="4"/>
        <v>547567.07000000007</v>
      </c>
      <c r="M36" s="221">
        <f t="shared" si="5"/>
        <v>309815.93</v>
      </c>
      <c r="N36" s="221">
        <v>0</v>
      </c>
      <c r="O36" s="221">
        <v>0</v>
      </c>
      <c r="P36" s="221"/>
      <c r="Q36" s="221"/>
      <c r="R36" s="213"/>
      <c r="S36" s="218"/>
      <c r="T36" s="218"/>
      <c r="U36" s="218"/>
      <c r="V36" s="184"/>
      <c r="W36" s="184"/>
      <c r="Y36" s="192"/>
      <c r="Z36" s="193"/>
      <c r="AA36" s="184"/>
      <c r="AB36" s="184"/>
      <c r="AC36" s="184"/>
      <c r="AD36" s="195"/>
      <c r="AF36" s="195">
        <f t="shared" si="6"/>
        <v>0</v>
      </c>
      <c r="AG36" s="195"/>
      <c r="AH36" s="184">
        <v>15</v>
      </c>
      <c r="AI36" s="194"/>
      <c r="AJ36" s="194">
        <v>0</v>
      </c>
    </row>
    <row r="37" spans="2:36" x14ac:dyDescent="0.25">
      <c r="B37" s="184" t="s">
        <v>208</v>
      </c>
      <c r="C37" s="212">
        <v>564649</v>
      </c>
      <c r="D37" s="213"/>
      <c r="E37" s="213"/>
      <c r="F37" s="214"/>
      <c r="G37" s="222">
        <f>[1]CSU!F16</f>
        <v>564649</v>
      </c>
      <c r="H37" s="223">
        <f>[1]CSU!H16</f>
        <v>161371.20000000001</v>
      </c>
      <c r="I37" s="221"/>
      <c r="J37" s="226">
        <f>[2]CSU!J74</f>
        <v>0</v>
      </c>
      <c r="K37" s="226">
        <f>[2]CSU!K74</f>
        <v>0</v>
      </c>
      <c r="L37" s="221">
        <f t="shared" si="4"/>
        <v>403277.8</v>
      </c>
      <c r="M37" s="221">
        <f t="shared" si="5"/>
        <v>0</v>
      </c>
      <c r="N37" s="221">
        <v>161371.20000000001</v>
      </c>
      <c r="O37" s="221">
        <v>0</v>
      </c>
      <c r="P37" s="221"/>
      <c r="Q37" s="221"/>
      <c r="R37" s="213"/>
      <c r="S37" s="218"/>
      <c r="T37" s="218"/>
      <c r="U37" s="218"/>
      <c r="V37" s="184"/>
      <c r="W37" s="184"/>
      <c r="Y37" s="192"/>
      <c r="Z37" s="193"/>
      <c r="AA37" s="184"/>
      <c r="AB37" s="184"/>
      <c r="AC37" s="184"/>
      <c r="AD37" s="195"/>
      <c r="AF37" s="195">
        <f t="shared" si="6"/>
        <v>0</v>
      </c>
      <c r="AG37" s="195"/>
      <c r="AH37" s="184">
        <v>16</v>
      </c>
      <c r="AI37" s="194"/>
      <c r="AJ37" s="194">
        <v>161371.20000000001</v>
      </c>
    </row>
    <row r="38" spans="2:36" x14ac:dyDescent="0.25">
      <c r="B38" s="184" t="s">
        <v>209</v>
      </c>
      <c r="C38" s="212">
        <v>515190</v>
      </c>
      <c r="D38" s="213"/>
      <c r="E38" s="213"/>
      <c r="F38" s="100">
        <f>2480</f>
        <v>2480</v>
      </c>
      <c r="G38" s="222">
        <f>[1]FSU!F32</f>
        <v>512710</v>
      </c>
      <c r="H38" s="223">
        <f>[1]FSU!H32</f>
        <v>377295.20999999996</v>
      </c>
      <c r="I38" s="221"/>
      <c r="J38" s="226">
        <f>[2]FSU!J40</f>
        <v>0</v>
      </c>
      <c r="K38" s="226">
        <f>[2]FSU!K40</f>
        <v>0</v>
      </c>
      <c r="L38" s="221">
        <f t="shared" si="4"/>
        <v>135414.79000000004</v>
      </c>
      <c r="M38" s="221">
        <f t="shared" si="5"/>
        <v>48365.22000000003</v>
      </c>
      <c r="N38" s="221">
        <v>328929.98999999993</v>
      </c>
      <c r="O38" s="221">
        <v>0</v>
      </c>
      <c r="P38" s="221"/>
      <c r="Q38" s="221"/>
      <c r="R38" s="213"/>
      <c r="S38" s="218"/>
      <c r="T38" s="218"/>
      <c r="U38" s="218"/>
      <c r="V38" s="184"/>
      <c r="W38" s="184"/>
      <c r="Y38" s="192"/>
      <c r="Z38" s="193"/>
      <c r="AA38" s="184"/>
      <c r="AB38" s="184"/>
      <c r="AC38" s="184"/>
      <c r="AD38" s="195"/>
      <c r="AF38" s="195">
        <f t="shared" si="6"/>
        <v>0</v>
      </c>
      <c r="AG38" s="195"/>
      <c r="AH38" s="184">
        <v>17</v>
      </c>
      <c r="AI38" s="194"/>
      <c r="AJ38" s="194">
        <v>328929.98999999993</v>
      </c>
    </row>
    <row r="39" spans="2:36" x14ac:dyDescent="0.25">
      <c r="B39" s="184" t="s">
        <v>210</v>
      </c>
      <c r="C39" s="212">
        <v>943287</v>
      </c>
      <c r="D39" s="213"/>
      <c r="E39" s="213"/>
      <c r="F39" s="214"/>
      <c r="G39" s="222">
        <f>[1]SU!F17</f>
        <v>943287</v>
      </c>
      <c r="H39" s="223">
        <f>[1]SU!H17</f>
        <v>0</v>
      </c>
      <c r="I39" s="221"/>
      <c r="J39" s="226">
        <f>[2]SU!J25</f>
        <v>0</v>
      </c>
      <c r="K39" s="226">
        <f>[2]SU!K25</f>
        <v>0</v>
      </c>
      <c r="L39" s="221">
        <f t="shared" si="4"/>
        <v>943287</v>
      </c>
      <c r="M39" s="221">
        <f t="shared" si="5"/>
        <v>0</v>
      </c>
      <c r="N39" s="221">
        <v>0</v>
      </c>
      <c r="O39" s="221">
        <v>0</v>
      </c>
      <c r="P39" s="221"/>
      <c r="Q39" s="221"/>
      <c r="R39" s="213"/>
      <c r="S39" s="218"/>
      <c r="T39" s="218"/>
      <c r="U39" s="218"/>
      <c r="V39" s="184"/>
      <c r="W39" s="184"/>
      <c r="Y39" s="192"/>
      <c r="Z39" s="193"/>
      <c r="AA39" s="184"/>
      <c r="AB39" s="184"/>
      <c r="AC39" s="184"/>
      <c r="AD39" s="195"/>
      <c r="AF39" s="195">
        <f t="shared" si="6"/>
        <v>0</v>
      </c>
      <c r="AG39" s="195"/>
      <c r="AH39" s="184">
        <v>18</v>
      </c>
      <c r="AI39" s="194"/>
      <c r="AJ39" s="194">
        <v>0</v>
      </c>
    </row>
    <row r="40" spans="2:36" x14ac:dyDescent="0.25">
      <c r="B40" s="184" t="s">
        <v>211</v>
      </c>
      <c r="C40" s="212">
        <v>2337131</v>
      </c>
      <c r="D40" s="213"/>
      <c r="E40" s="213"/>
      <c r="F40" s="214"/>
      <c r="G40" s="222">
        <f>[1]TU!F23+[1]TU!F28+[1]TU!F33</f>
        <v>2337131</v>
      </c>
      <c r="H40" s="223">
        <f>[1]TU!H23+[1]TU!H28+[1]TU!H33</f>
        <v>0</v>
      </c>
      <c r="I40" s="221"/>
      <c r="J40" s="226">
        <f>[2]TU!J47+[2]TU!J52+[2]TU!J57</f>
        <v>0</v>
      </c>
      <c r="K40" s="226">
        <f>[2]TU!K47+[2]TU!K52+[2]TU!K57</f>
        <v>0</v>
      </c>
      <c r="L40" s="221">
        <f t="shared" si="4"/>
        <v>2337131</v>
      </c>
      <c r="M40" s="221">
        <f t="shared" si="5"/>
        <v>0</v>
      </c>
      <c r="N40" s="221">
        <v>0</v>
      </c>
      <c r="O40" s="221">
        <v>0</v>
      </c>
      <c r="P40" s="221"/>
      <c r="Q40" s="221"/>
      <c r="R40" s="213"/>
      <c r="S40" s="218"/>
      <c r="T40" s="218"/>
      <c r="U40" s="218"/>
      <c r="V40" s="184"/>
      <c r="W40" s="184"/>
      <c r="Y40" s="192"/>
      <c r="Z40" s="193"/>
      <c r="AA40" s="184"/>
      <c r="AB40" s="184"/>
      <c r="AC40" s="184"/>
      <c r="AD40" s="195"/>
      <c r="AF40" s="195">
        <f t="shared" si="6"/>
        <v>0</v>
      </c>
      <c r="AG40" s="195"/>
      <c r="AH40" s="184">
        <v>19</v>
      </c>
      <c r="AI40" s="194"/>
      <c r="AJ40" s="194">
        <v>0</v>
      </c>
    </row>
    <row r="41" spans="2:36" x14ac:dyDescent="0.25">
      <c r="B41" s="184" t="s">
        <v>212</v>
      </c>
      <c r="C41" s="212">
        <v>890113</v>
      </c>
      <c r="D41" s="213"/>
      <c r="E41" s="213"/>
      <c r="F41" s="214"/>
      <c r="G41" s="222">
        <f>[1]UB!F49</f>
        <v>890113</v>
      </c>
      <c r="H41" s="223">
        <f>[1]UB!H49</f>
        <v>49478.57</v>
      </c>
      <c r="I41" s="221"/>
      <c r="J41" s="226">
        <f>[2]UB!J42</f>
        <v>0</v>
      </c>
      <c r="K41" s="226">
        <f>[2]UB!K42</f>
        <v>0</v>
      </c>
      <c r="L41" s="221">
        <f t="shared" si="4"/>
        <v>840634.43</v>
      </c>
      <c r="M41" s="221">
        <f t="shared" si="5"/>
        <v>0</v>
      </c>
      <c r="N41" s="221">
        <v>49478.57</v>
      </c>
      <c r="O41" s="221">
        <v>0</v>
      </c>
      <c r="P41" s="221"/>
      <c r="Q41" s="221"/>
      <c r="R41" s="213"/>
      <c r="S41" s="218"/>
      <c r="T41" s="218"/>
      <c r="U41" s="218"/>
      <c r="V41" s="184"/>
      <c r="W41" s="184"/>
      <c r="Y41" s="192"/>
      <c r="Z41" s="193"/>
      <c r="AA41" s="184"/>
      <c r="AB41" s="184"/>
      <c r="AC41" s="184"/>
      <c r="AD41" s="195"/>
      <c r="AF41" s="195">
        <f t="shared" si="6"/>
        <v>0</v>
      </c>
      <c r="AG41" s="195"/>
      <c r="AH41" s="184">
        <v>20</v>
      </c>
      <c r="AI41" s="194"/>
      <c r="AJ41" s="194">
        <v>0</v>
      </c>
    </row>
    <row r="42" spans="2:36" x14ac:dyDescent="0.25">
      <c r="B42" s="224" t="s">
        <v>216</v>
      </c>
      <c r="C42" s="212">
        <v>726035</v>
      </c>
      <c r="D42" s="213"/>
      <c r="E42" s="221">
        <f>-418037</f>
        <v>-418037</v>
      </c>
      <c r="F42" s="214"/>
      <c r="G42" s="222">
        <f>'[1]Emergency Funds'!G15</f>
        <v>307998</v>
      </c>
      <c r="H42" s="223">
        <f>'[1]Emergency Funds'!H15</f>
        <v>0</v>
      </c>
      <c r="I42" s="221"/>
      <c r="J42" s="226"/>
      <c r="K42" s="226"/>
      <c r="L42" s="221">
        <f t="shared" si="4"/>
        <v>307998</v>
      </c>
      <c r="M42" s="221">
        <f t="shared" si="5"/>
        <v>0</v>
      </c>
      <c r="N42" s="221">
        <v>0</v>
      </c>
      <c r="O42" s="221">
        <v>0</v>
      </c>
      <c r="P42" s="221"/>
      <c r="Q42" s="221"/>
      <c r="R42" s="213"/>
      <c r="S42" s="218"/>
      <c r="T42" s="218"/>
      <c r="U42" s="218"/>
      <c r="V42" s="184"/>
      <c r="W42" s="184"/>
      <c r="Y42" s="192"/>
      <c r="Z42" s="193"/>
      <c r="AA42" s="184"/>
      <c r="AB42" s="184"/>
      <c r="AC42" s="184"/>
      <c r="AD42" s="195"/>
      <c r="AF42" s="195">
        <f t="shared" si="6"/>
        <v>0</v>
      </c>
      <c r="AG42" s="195"/>
      <c r="AH42" s="184">
        <v>21</v>
      </c>
      <c r="AI42" s="194"/>
      <c r="AJ42" s="194"/>
    </row>
    <row r="43" spans="2:36" x14ac:dyDescent="0.25">
      <c r="B43" s="184" t="s">
        <v>221</v>
      </c>
      <c r="C43" s="212"/>
      <c r="D43" s="213"/>
      <c r="E43" s="229">
        <v>335990</v>
      </c>
      <c r="F43" s="214"/>
      <c r="G43" s="222">
        <f>'[1]USM &amp; COI'!G7</f>
        <v>335990</v>
      </c>
      <c r="H43" s="223">
        <f>'[1]USM &amp; COI'!H7</f>
        <v>0</v>
      </c>
      <c r="I43" s="221"/>
      <c r="J43" s="226"/>
      <c r="K43" s="226"/>
      <c r="L43" s="221">
        <f t="shared" si="4"/>
        <v>335990</v>
      </c>
      <c r="M43" s="221">
        <f t="shared" si="5"/>
        <v>0</v>
      </c>
      <c r="N43" s="221">
        <v>0</v>
      </c>
      <c r="O43" s="221">
        <v>0</v>
      </c>
      <c r="P43" s="221"/>
      <c r="Q43" s="221"/>
      <c r="R43" s="213"/>
      <c r="S43" s="218"/>
      <c r="T43" s="218"/>
      <c r="U43" s="218"/>
      <c r="V43" s="184"/>
      <c r="W43" s="184"/>
      <c r="Y43" s="192"/>
      <c r="Z43" s="193"/>
      <c r="AA43" s="184"/>
      <c r="AB43" s="184"/>
      <c r="AC43" s="184"/>
      <c r="AD43" s="195"/>
      <c r="AF43" s="195">
        <f t="shared" si="6"/>
        <v>0</v>
      </c>
      <c r="AG43" s="195"/>
      <c r="AH43" s="184">
        <v>22</v>
      </c>
      <c r="AI43" s="194"/>
      <c r="AJ43" s="194">
        <v>0</v>
      </c>
    </row>
    <row r="44" spans="2:36" x14ac:dyDescent="0.25">
      <c r="B44" s="184" t="s">
        <v>222</v>
      </c>
      <c r="C44" s="212"/>
      <c r="D44" s="213"/>
      <c r="E44" s="229">
        <v>35489</v>
      </c>
      <c r="F44" s="214"/>
      <c r="G44" s="222">
        <f>'[1]USM &amp; COI'!G11</f>
        <v>35489</v>
      </c>
      <c r="H44" s="223">
        <f>'[1]USM &amp; COI'!H11</f>
        <v>0</v>
      </c>
      <c r="I44" s="221"/>
      <c r="J44" s="226"/>
      <c r="K44" s="226"/>
      <c r="L44" s="221">
        <f t="shared" si="4"/>
        <v>35489</v>
      </c>
      <c r="M44" s="221">
        <f t="shared" si="5"/>
        <v>0</v>
      </c>
      <c r="N44" s="221">
        <v>0</v>
      </c>
      <c r="O44" s="221">
        <v>0</v>
      </c>
      <c r="P44" s="221"/>
      <c r="Q44" s="221"/>
      <c r="R44" s="213"/>
      <c r="S44" s="218"/>
      <c r="T44" s="218"/>
      <c r="U44" s="218"/>
      <c r="V44" s="184"/>
      <c r="W44" s="184"/>
      <c r="Y44" s="192"/>
      <c r="Z44" s="193"/>
      <c r="AA44" s="184"/>
      <c r="AB44" s="184"/>
      <c r="AC44" s="184"/>
      <c r="AD44" s="195"/>
      <c r="AF44" s="195">
        <f t="shared" si="6"/>
        <v>0</v>
      </c>
      <c r="AG44" s="195"/>
      <c r="AH44" s="184">
        <v>23</v>
      </c>
      <c r="AI44" s="194"/>
      <c r="AJ44" s="194">
        <v>0</v>
      </c>
    </row>
    <row r="45" spans="2:36" x14ac:dyDescent="0.25">
      <c r="B45" s="184" t="s">
        <v>223</v>
      </c>
      <c r="C45" s="212"/>
      <c r="D45" s="213"/>
      <c r="E45" s="229">
        <v>46558</v>
      </c>
      <c r="F45" s="214"/>
      <c r="G45" s="222">
        <f>'[1]USM &amp; COI'!G15</f>
        <v>46558</v>
      </c>
      <c r="H45" s="223">
        <f>'[1]USM &amp; COI'!H15</f>
        <v>0</v>
      </c>
      <c r="I45" s="221"/>
      <c r="J45" s="226"/>
      <c r="K45" s="226"/>
      <c r="L45" s="221">
        <f t="shared" si="4"/>
        <v>46558</v>
      </c>
      <c r="M45" s="221">
        <f t="shared" si="5"/>
        <v>0</v>
      </c>
      <c r="N45" s="221">
        <v>0</v>
      </c>
      <c r="O45" s="221">
        <v>0</v>
      </c>
      <c r="P45" s="221"/>
      <c r="Q45" s="221"/>
      <c r="R45" s="213"/>
      <c r="S45" s="218"/>
      <c r="T45" s="218"/>
      <c r="U45" s="218"/>
      <c r="V45" s="184"/>
      <c r="W45" s="184"/>
      <c r="Y45" s="192"/>
      <c r="Z45" s="193"/>
      <c r="AA45" s="184"/>
      <c r="AB45" s="184"/>
      <c r="AC45" s="184"/>
      <c r="AD45" s="195"/>
      <c r="AF45" s="195">
        <f t="shared" si="6"/>
        <v>0</v>
      </c>
      <c r="AG45" s="195"/>
      <c r="AH45" s="184">
        <v>24</v>
      </c>
      <c r="AI45" s="194"/>
      <c r="AJ45" s="194">
        <v>0</v>
      </c>
    </row>
    <row r="46" spans="2:36" x14ac:dyDescent="0.25">
      <c r="C46" s="212"/>
      <c r="D46" s="213"/>
      <c r="E46" s="213"/>
      <c r="F46" s="214"/>
      <c r="G46" s="215"/>
      <c r="H46" s="216"/>
      <c r="I46" s="213"/>
      <c r="J46" s="217"/>
      <c r="K46" s="217"/>
      <c r="L46" s="213"/>
      <c r="M46" s="213"/>
      <c r="N46" s="213"/>
      <c r="O46" s="213"/>
      <c r="P46" s="213"/>
      <c r="Q46" s="213"/>
      <c r="R46" s="213"/>
      <c r="S46" s="218"/>
      <c r="T46" s="218"/>
      <c r="U46" s="218"/>
      <c r="V46" s="184"/>
      <c r="W46" s="184"/>
      <c r="Y46" s="192"/>
      <c r="Z46" s="193"/>
      <c r="AA46" s="184"/>
      <c r="AB46" s="184"/>
      <c r="AC46" s="184"/>
      <c r="AD46" s="195"/>
      <c r="AF46" s="195"/>
      <c r="AG46" s="195"/>
      <c r="AH46" s="184">
        <v>25</v>
      </c>
      <c r="AI46" s="194"/>
      <c r="AJ46" s="194"/>
    </row>
    <row r="47" spans="2:36" ht="13.8" thickBot="1" x14ac:dyDescent="0.3">
      <c r="B47" s="227" t="s">
        <v>224</v>
      </c>
      <c r="C47" s="228">
        <f t="shared" ref="C47:Q47" si="7">SUM(C28:C46)</f>
        <v>30000000</v>
      </c>
      <c r="D47" s="228">
        <f t="shared" si="7"/>
        <v>0</v>
      </c>
      <c r="E47" s="228">
        <f t="shared" si="7"/>
        <v>0</v>
      </c>
      <c r="F47" s="228">
        <f t="shared" si="7"/>
        <v>2969537.5</v>
      </c>
      <c r="G47" s="228">
        <f t="shared" si="7"/>
        <v>27030462.5</v>
      </c>
      <c r="H47" s="228">
        <f t="shared" si="7"/>
        <v>6825189.0900000017</v>
      </c>
      <c r="I47" s="228">
        <f t="shared" si="7"/>
        <v>0</v>
      </c>
      <c r="J47" s="228">
        <f t="shared" si="7"/>
        <v>0</v>
      </c>
      <c r="K47" s="228">
        <f t="shared" si="7"/>
        <v>0</v>
      </c>
      <c r="L47" s="228">
        <f t="shared" si="7"/>
        <v>20205273.41</v>
      </c>
      <c r="M47" s="228">
        <f t="shared" si="7"/>
        <v>972125.81000000099</v>
      </c>
      <c r="N47" s="228">
        <f t="shared" si="7"/>
        <v>5853063.2800000012</v>
      </c>
      <c r="O47" s="228">
        <f t="shared" si="7"/>
        <v>0</v>
      </c>
      <c r="P47" s="228">
        <f t="shared" si="7"/>
        <v>0</v>
      </c>
      <c r="Q47" s="228">
        <f t="shared" si="7"/>
        <v>0</v>
      </c>
      <c r="R47" s="212"/>
      <c r="S47" s="218"/>
      <c r="T47" s="218"/>
      <c r="U47" s="218"/>
      <c r="V47" s="184"/>
      <c r="W47" s="184"/>
      <c r="X47" s="227" t="s">
        <v>218</v>
      </c>
      <c r="Y47" s="192">
        <v>22</v>
      </c>
      <c r="Z47" s="193"/>
      <c r="AA47" s="184"/>
      <c r="AB47" s="184"/>
      <c r="AC47" s="184"/>
      <c r="AD47" s="228" t="e">
        <f>SUM(#REF!)</f>
        <v>#REF!</v>
      </c>
      <c r="AE47" s="228" t="e">
        <f>SUM(#REF!)</f>
        <v>#REF!</v>
      </c>
      <c r="AF47" s="228"/>
      <c r="AG47" s="228"/>
      <c r="AH47" s="184">
        <v>26</v>
      </c>
      <c r="AI47" s="194"/>
      <c r="AJ47" s="194">
        <v>2910571.3200000003</v>
      </c>
    </row>
    <row r="48" spans="2:36" ht="13.8" thickTop="1" x14ac:dyDescent="0.25">
      <c r="B48" s="224"/>
      <c r="C48" s="212"/>
      <c r="D48" s="212"/>
      <c r="E48" s="212"/>
      <c r="F48" s="212"/>
      <c r="G48" s="212"/>
      <c r="H48" s="212"/>
      <c r="I48" s="212"/>
      <c r="J48" s="212"/>
      <c r="K48" s="212"/>
      <c r="L48" s="212"/>
      <c r="M48" s="212"/>
      <c r="N48" s="212"/>
      <c r="O48" s="212"/>
      <c r="P48" s="212"/>
      <c r="Q48" s="212"/>
      <c r="R48" s="212"/>
      <c r="S48" s="218"/>
      <c r="T48" s="218"/>
      <c r="U48" s="218"/>
      <c r="V48" s="184"/>
      <c r="W48" s="184"/>
      <c r="X48" s="224"/>
      <c r="Y48" s="192"/>
      <c r="Z48" s="193"/>
      <c r="AA48" s="184"/>
      <c r="AB48" s="184"/>
      <c r="AC48" s="184"/>
      <c r="AD48" s="212"/>
      <c r="AE48" s="212"/>
      <c r="AF48" s="212"/>
      <c r="AG48" s="212"/>
      <c r="AH48" s="184">
        <v>27</v>
      </c>
      <c r="AI48" s="194"/>
      <c r="AJ48" s="194"/>
    </row>
    <row r="49" spans="1:36" x14ac:dyDescent="0.25">
      <c r="A49" s="224" t="s">
        <v>225</v>
      </c>
      <c r="C49" s="212"/>
      <c r="D49" s="213"/>
      <c r="E49" s="213"/>
      <c r="F49" s="221"/>
      <c r="G49" s="222"/>
      <c r="H49" s="223"/>
      <c r="I49" s="222"/>
      <c r="J49" s="222"/>
      <c r="K49" s="222"/>
      <c r="L49" s="221"/>
      <c r="M49" s="221"/>
      <c r="N49" s="221"/>
      <c r="O49" s="221"/>
      <c r="T49" s="224" t="s">
        <v>198</v>
      </c>
      <c r="V49" s="192">
        <v>5</v>
      </c>
      <c r="AH49" s="184">
        <v>28</v>
      </c>
    </row>
    <row r="50" spans="1:36" x14ac:dyDescent="0.25">
      <c r="A50" s="224"/>
      <c r="B50" s="184" t="s">
        <v>199</v>
      </c>
      <c r="C50" s="212">
        <v>5000000</v>
      </c>
      <c r="D50" s="213"/>
      <c r="E50" s="213"/>
      <c r="F50" s="221">
        <f>622650.15+104.49</f>
        <v>622754.64</v>
      </c>
      <c r="G50" s="222">
        <f>[1]UMCP!F164</f>
        <v>4377245.3600000003</v>
      </c>
      <c r="H50" s="223">
        <f>[1]UMCP!H164</f>
        <v>1280379.5999999999</v>
      </c>
      <c r="I50" s="222"/>
      <c r="J50" s="222">
        <f>[1]UMCP!J164</f>
        <v>0</v>
      </c>
      <c r="K50" s="222">
        <f>[1]UMCP!K164</f>
        <v>0</v>
      </c>
      <c r="L50" s="221">
        <f t="shared" ref="L50:L64" si="8">G50-H50-I50-J50-K50</f>
        <v>3096865.7600000007</v>
      </c>
      <c r="M50" s="221">
        <f>H50-N50-O50</f>
        <v>243703.6599999998</v>
      </c>
      <c r="N50" s="221">
        <v>1036675.9400000001</v>
      </c>
      <c r="O50" s="221">
        <v>0</v>
      </c>
      <c r="T50" s="224"/>
      <c r="AF50" s="195">
        <f t="shared" ref="AF50:AF64" si="9">C50+D50+E50-F50-G50</f>
        <v>0</v>
      </c>
      <c r="AH50" s="184">
        <v>29</v>
      </c>
      <c r="AI50" s="195" t="s">
        <v>200</v>
      </c>
      <c r="AJ50" s="184">
        <v>0</v>
      </c>
    </row>
    <row r="51" spans="1:36" x14ac:dyDescent="0.25">
      <c r="A51" s="224"/>
      <c r="B51" s="224" t="s">
        <v>201</v>
      </c>
      <c r="C51" s="212"/>
      <c r="D51" s="213"/>
      <c r="E51" s="213"/>
      <c r="F51" s="221"/>
      <c r="G51" s="222"/>
      <c r="H51" s="223"/>
      <c r="I51" s="222"/>
      <c r="J51" s="222"/>
      <c r="K51" s="222"/>
      <c r="L51" s="221"/>
      <c r="M51" s="221"/>
      <c r="N51" s="221"/>
      <c r="O51" s="221"/>
      <c r="T51" s="224"/>
      <c r="AF51" s="195">
        <f t="shared" si="9"/>
        <v>0</v>
      </c>
      <c r="AH51" s="184">
        <v>30</v>
      </c>
    </row>
    <row r="52" spans="1:36" x14ac:dyDescent="0.25">
      <c r="A52" s="224"/>
      <c r="B52" s="184" t="s">
        <v>202</v>
      </c>
      <c r="C52" s="212">
        <v>7300000</v>
      </c>
      <c r="D52" s="213"/>
      <c r="E52" s="213"/>
      <c r="F52" s="221"/>
      <c r="G52" s="222">
        <f>[1]UMCP!F90</f>
        <v>7300000</v>
      </c>
      <c r="H52" s="223">
        <f>[1]UMCP!H90</f>
        <v>7300000</v>
      </c>
      <c r="I52" s="222"/>
      <c r="J52" s="222">
        <f>[1]UMCP!J90</f>
        <v>0</v>
      </c>
      <c r="K52" s="222">
        <f>[1]UMCP!K90</f>
        <v>0</v>
      </c>
      <c r="L52" s="221">
        <f t="shared" si="8"/>
        <v>0</v>
      </c>
      <c r="M52" s="221">
        <f t="shared" ref="M52:M63" si="10">H52-N52-O52</f>
        <v>0</v>
      </c>
      <c r="N52" s="221">
        <v>3644690.17</v>
      </c>
      <c r="O52" s="221">
        <v>3655309.83</v>
      </c>
      <c r="T52" s="224"/>
      <c r="AF52" s="195">
        <f t="shared" si="9"/>
        <v>0</v>
      </c>
      <c r="AH52" s="184">
        <v>31</v>
      </c>
      <c r="AJ52" s="184">
        <v>7300000</v>
      </c>
    </row>
    <row r="53" spans="1:36" x14ac:dyDescent="0.25">
      <c r="A53" s="224"/>
      <c r="B53" s="184" t="s">
        <v>203</v>
      </c>
      <c r="C53" s="212">
        <v>3797264</v>
      </c>
      <c r="D53" s="213"/>
      <c r="E53" s="213"/>
      <c r="F53" s="100">
        <v>7630.07</v>
      </c>
      <c r="G53" s="222">
        <f>[1]UMB!F45</f>
        <v>3789633.93</v>
      </c>
      <c r="H53" s="223">
        <f>[1]UMB!H45</f>
        <v>1639383.8299999998</v>
      </c>
      <c r="I53" s="222"/>
      <c r="J53" s="222">
        <f>[1]UMB!J45</f>
        <v>0</v>
      </c>
      <c r="K53" s="222">
        <f>[1]UMB!K45</f>
        <v>0</v>
      </c>
      <c r="L53" s="221">
        <f t="shared" si="8"/>
        <v>2150250.1000000006</v>
      </c>
      <c r="M53" s="221">
        <f t="shared" si="10"/>
        <v>666139.5</v>
      </c>
      <c r="N53" s="221">
        <v>938643.05999999982</v>
      </c>
      <c r="O53" s="221">
        <v>34601.269999999997</v>
      </c>
      <c r="T53" s="224"/>
      <c r="AF53" s="195">
        <f t="shared" si="9"/>
        <v>0</v>
      </c>
      <c r="AH53" s="184">
        <v>32</v>
      </c>
      <c r="AJ53" s="184">
        <v>845236.89999999991</v>
      </c>
    </row>
    <row r="54" spans="1:36" x14ac:dyDescent="0.25">
      <c r="A54" s="224"/>
      <c r="B54" s="184" t="s">
        <v>204</v>
      </c>
      <c r="C54" s="212">
        <v>989020</v>
      </c>
      <c r="D54" s="213"/>
      <c r="E54" s="213"/>
      <c r="F54" s="230">
        <v>856.96</v>
      </c>
      <c r="G54" s="222">
        <f>[1]UMES!F61</f>
        <v>988163.04</v>
      </c>
      <c r="H54" s="223">
        <f>[1]UMES!H61</f>
        <v>21886.49</v>
      </c>
      <c r="I54" s="222"/>
      <c r="J54" s="222">
        <f>[1]UMES!J61</f>
        <v>0</v>
      </c>
      <c r="K54" s="222">
        <f>[1]UMES!K61</f>
        <v>0</v>
      </c>
      <c r="L54" s="221">
        <f t="shared" si="8"/>
        <v>966276.55</v>
      </c>
      <c r="M54" s="221">
        <f t="shared" si="10"/>
        <v>0</v>
      </c>
      <c r="N54" s="221">
        <v>21886.49</v>
      </c>
      <c r="O54" s="221">
        <v>0</v>
      </c>
      <c r="T54" s="224"/>
      <c r="AF54" s="195">
        <f t="shared" si="9"/>
        <v>0</v>
      </c>
      <c r="AH54" s="184">
        <v>33</v>
      </c>
      <c r="AJ54" s="184">
        <v>21886.49</v>
      </c>
    </row>
    <row r="55" spans="1:36" x14ac:dyDescent="0.25">
      <c r="A55" s="224"/>
      <c r="B55" s="184" t="s">
        <v>205</v>
      </c>
      <c r="C55" s="212">
        <v>1779344</v>
      </c>
      <c r="D55" s="213"/>
      <c r="E55" s="213"/>
      <c r="F55" s="230">
        <f>15518.52+5022.6</f>
        <v>20541.120000000003</v>
      </c>
      <c r="G55" s="222">
        <f>[1]UMBC!F36</f>
        <v>1758802.88</v>
      </c>
      <c r="H55" s="223">
        <f>[1]UMBC!H36</f>
        <v>266790</v>
      </c>
      <c r="I55" s="222"/>
      <c r="J55" s="222">
        <f>[1]UMBC!J36</f>
        <v>0</v>
      </c>
      <c r="K55" s="222">
        <f>[1]UMBC!K36</f>
        <v>0</v>
      </c>
      <c r="L55" s="221">
        <f t="shared" si="8"/>
        <v>1492012.88</v>
      </c>
      <c r="M55" s="221">
        <f t="shared" si="10"/>
        <v>0</v>
      </c>
      <c r="N55" s="221">
        <v>266790</v>
      </c>
      <c r="O55" s="221">
        <v>0</v>
      </c>
      <c r="T55" s="224"/>
      <c r="AF55" s="195">
        <f t="shared" si="9"/>
        <v>0</v>
      </c>
      <c r="AH55" s="184">
        <v>34</v>
      </c>
      <c r="AJ55" s="184">
        <v>197182</v>
      </c>
    </row>
    <row r="56" spans="1:36" x14ac:dyDescent="0.25">
      <c r="A56" s="224"/>
      <c r="B56" s="184" t="s">
        <v>206</v>
      </c>
      <c r="C56" s="212">
        <v>317000</v>
      </c>
      <c r="D56" s="213"/>
      <c r="E56" s="213"/>
      <c r="F56" s="230"/>
      <c r="G56" s="222">
        <f>[1]UMCES!F20</f>
        <v>317000</v>
      </c>
      <c r="H56" s="223">
        <f>[1]UMCES!H20</f>
        <v>216168.12</v>
      </c>
      <c r="I56" s="222"/>
      <c r="J56" s="222">
        <f>[1]UMCES!J20</f>
        <v>0</v>
      </c>
      <c r="K56" s="222">
        <f>[1]UMCES!K20</f>
        <v>0</v>
      </c>
      <c r="L56" s="221">
        <f t="shared" si="8"/>
        <v>100831.88</v>
      </c>
      <c r="M56" s="221">
        <f t="shared" si="10"/>
        <v>0</v>
      </c>
      <c r="N56" s="221">
        <v>216168.12</v>
      </c>
      <c r="O56" s="221">
        <v>0</v>
      </c>
      <c r="T56" s="224"/>
      <c r="AF56" s="195">
        <f t="shared" si="9"/>
        <v>0</v>
      </c>
      <c r="AH56" s="184">
        <v>35</v>
      </c>
      <c r="AJ56" s="184">
        <v>216168.12</v>
      </c>
    </row>
    <row r="57" spans="1:36" x14ac:dyDescent="0.25">
      <c r="B57" s="184" t="s">
        <v>207</v>
      </c>
      <c r="C57" s="212">
        <v>1508994</v>
      </c>
      <c r="D57" s="213"/>
      <c r="E57" s="213"/>
      <c r="F57" s="230"/>
      <c r="G57" s="231">
        <f>[1]BSU!F36</f>
        <v>1508994</v>
      </c>
      <c r="H57" s="232">
        <f>[1]BSU!H36</f>
        <v>1508994</v>
      </c>
      <c r="I57" s="229"/>
      <c r="J57" s="230">
        <f>[1]BSU!J36</f>
        <v>0</v>
      </c>
      <c r="K57" s="230">
        <f>[1]BSU!K36</f>
        <v>0</v>
      </c>
      <c r="L57" s="221">
        <f t="shared" si="8"/>
        <v>0</v>
      </c>
      <c r="M57" s="221">
        <f t="shared" si="10"/>
        <v>8514.6599999999162</v>
      </c>
      <c r="N57" s="221">
        <v>62500</v>
      </c>
      <c r="O57" s="221">
        <v>1437979.34</v>
      </c>
      <c r="AA57" s="195"/>
      <c r="AB57" s="195"/>
      <c r="AC57" s="195"/>
      <c r="AD57" s="195"/>
      <c r="AF57" s="195">
        <f t="shared" si="9"/>
        <v>0</v>
      </c>
      <c r="AH57" s="184">
        <v>36</v>
      </c>
      <c r="AJ57" s="184">
        <v>1500479.34</v>
      </c>
    </row>
    <row r="58" spans="1:36" x14ac:dyDescent="0.25">
      <c r="B58" s="184" t="s">
        <v>208</v>
      </c>
      <c r="C58" s="212">
        <v>429133</v>
      </c>
      <c r="D58" s="213"/>
      <c r="E58" s="213"/>
      <c r="F58" s="230"/>
      <c r="G58" s="231">
        <f>[1]CSU!F32</f>
        <v>429133</v>
      </c>
      <c r="H58" s="232">
        <f>[1]CSU!H32</f>
        <v>405926.88</v>
      </c>
      <c r="I58" s="229"/>
      <c r="J58" s="230">
        <f>[1]CSU!J32</f>
        <v>0</v>
      </c>
      <c r="K58" s="230">
        <f>[1]CSU!K32</f>
        <v>0</v>
      </c>
      <c r="L58" s="221">
        <f t="shared" si="8"/>
        <v>23206.119999999995</v>
      </c>
      <c r="M58" s="221">
        <f t="shared" si="10"/>
        <v>0</v>
      </c>
      <c r="N58" s="221">
        <v>405926.88</v>
      </c>
      <c r="O58" s="221">
        <v>0</v>
      </c>
      <c r="AA58" s="195"/>
      <c r="AB58" s="195"/>
      <c r="AC58" s="195"/>
      <c r="AD58" s="195"/>
      <c r="AF58" s="195">
        <f t="shared" si="9"/>
        <v>0</v>
      </c>
      <c r="AH58" s="184">
        <v>37</v>
      </c>
      <c r="AJ58" s="184">
        <v>405926.88</v>
      </c>
    </row>
    <row r="59" spans="1:36" x14ac:dyDescent="0.25">
      <c r="B59" s="184" t="s">
        <v>209</v>
      </c>
      <c r="C59" s="212">
        <v>645000</v>
      </c>
      <c r="D59" s="213"/>
      <c r="E59" s="213"/>
      <c r="F59" s="230">
        <f>1700+19385</f>
        <v>21085</v>
      </c>
      <c r="G59" s="231">
        <f>[1]FSU!F58</f>
        <v>623915</v>
      </c>
      <c r="H59" s="232">
        <f>[1]FSU!H58</f>
        <v>623399.90000000014</v>
      </c>
      <c r="I59" s="229"/>
      <c r="J59" s="230">
        <f>[1]FSU!J58</f>
        <v>0</v>
      </c>
      <c r="K59" s="230">
        <f>[1]FSU!K58</f>
        <v>0</v>
      </c>
      <c r="L59" s="221">
        <f t="shared" si="8"/>
        <v>515.0999999998603</v>
      </c>
      <c r="M59" s="221">
        <f t="shared" si="10"/>
        <v>19911.019999999975</v>
      </c>
      <c r="N59" s="221">
        <v>551667.05000000016</v>
      </c>
      <c r="O59" s="221">
        <v>51821.83</v>
      </c>
      <c r="AA59" s="195"/>
      <c r="AB59" s="195"/>
      <c r="AC59" s="195"/>
      <c r="AD59" s="195"/>
      <c r="AF59" s="195">
        <f t="shared" si="9"/>
        <v>0</v>
      </c>
      <c r="AH59" s="184">
        <v>38</v>
      </c>
      <c r="AJ59" s="184">
        <v>583023.04</v>
      </c>
    </row>
    <row r="60" spans="1:36" x14ac:dyDescent="0.25">
      <c r="B60" s="184" t="s">
        <v>226</v>
      </c>
      <c r="C60" s="212">
        <v>1660185</v>
      </c>
      <c r="D60" s="213"/>
      <c r="E60" s="213"/>
      <c r="F60" s="230">
        <f>137991.19+5662</f>
        <v>143653.19</v>
      </c>
      <c r="G60" s="231">
        <f>[1]SU!F38</f>
        <v>1516531.81</v>
      </c>
      <c r="H60" s="232">
        <f>[1]SU!H38</f>
        <v>526290.68999999994</v>
      </c>
      <c r="I60" s="229"/>
      <c r="J60" s="230">
        <f>[1]SU!J38</f>
        <v>0</v>
      </c>
      <c r="K60" s="230">
        <f>[1]SU!K38</f>
        <v>0</v>
      </c>
      <c r="L60" s="221">
        <f t="shared" si="8"/>
        <v>990241.12000000011</v>
      </c>
      <c r="M60" s="221">
        <f t="shared" si="10"/>
        <v>170961.99999999997</v>
      </c>
      <c r="N60" s="221">
        <v>267411.58999999997</v>
      </c>
      <c r="O60" s="221">
        <v>87917.1</v>
      </c>
      <c r="AA60" s="195"/>
      <c r="AB60" s="195"/>
      <c r="AC60" s="195"/>
      <c r="AD60" s="195"/>
      <c r="AF60" s="195">
        <f t="shared" si="9"/>
        <v>0</v>
      </c>
      <c r="AH60" s="184">
        <v>39</v>
      </c>
      <c r="AJ60" s="184">
        <v>338665.69</v>
      </c>
    </row>
    <row r="61" spans="1:36" x14ac:dyDescent="0.25">
      <c r="B61" s="184" t="s">
        <v>211</v>
      </c>
      <c r="C61" s="212">
        <v>1776220</v>
      </c>
      <c r="D61" s="213"/>
      <c r="E61" s="213"/>
      <c r="F61" s="230">
        <f>30764.52+7301.55</f>
        <v>38066.07</v>
      </c>
      <c r="G61" s="222">
        <f>[1]TU!F40+[1]TU!F45+[1]TU!F67</f>
        <v>1738153.9300000002</v>
      </c>
      <c r="H61" s="223">
        <f>[1]TU!H40+[1]TU!H45+[1]TU!H67</f>
        <v>458836.75999999995</v>
      </c>
      <c r="I61" s="221"/>
      <c r="J61" s="226">
        <f>[1]TU!J40+[1]TU!J45+[1]TU!J67</f>
        <v>0</v>
      </c>
      <c r="K61" s="226">
        <f>[1]TU!K40+[1]TU!K45+[1]TU!K67</f>
        <v>0</v>
      </c>
      <c r="L61" s="221">
        <f t="shared" si="8"/>
        <v>1279317.1700000002</v>
      </c>
      <c r="M61" s="221">
        <f t="shared" si="10"/>
        <v>178280.93000000002</v>
      </c>
      <c r="N61" s="221">
        <v>61603.979999999952</v>
      </c>
      <c r="O61" s="221">
        <v>218951.85</v>
      </c>
      <c r="AA61" s="195"/>
      <c r="AB61" s="195"/>
      <c r="AC61" s="195"/>
      <c r="AD61" s="195"/>
      <c r="AF61" s="195">
        <f t="shared" si="9"/>
        <v>0</v>
      </c>
      <c r="AH61" s="184">
        <v>40</v>
      </c>
      <c r="AJ61" s="184">
        <v>273254.27999999997</v>
      </c>
    </row>
    <row r="62" spans="1:36" x14ac:dyDescent="0.25">
      <c r="B62" s="184" t="s">
        <v>212</v>
      </c>
      <c r="C62" s="212">
        <v>676486</v>
      </c>
      <c r="D62" s="213"/>
      <c r="E62" s="213"/>
      <c r="F62" s="233">
        <v>42465.599999999999</v>
      </c>
      <c r="G62" s="222">
        <f>[1]UB!F58</f>
        <v>634020.4</v>
      </c>
      <c r="H62" s="223">
        <f>[1]UB!H58</f>
        <v>5661.55</v>
      </c>
      <c r="I62" s="221"/>
      <c r="J62" s="226">
        <f>[1]UB!J58</f>
        <v>0</v>
      </c>
      <c r="K62" s="226">
        <f>[1]UB!K58</f>
        <v>0</v>
      </c>
      <c r="L62" s="221">
        <f t="shared" si="8"/>
        <v>628358.85</v>
      </c>
      <c r="M62" s="221">
        <f t="shared" si="10"/>
        <v>0</v>
      </c>
      <c r="N62" s="221">
        <v>5661.55</v>
      </c>
      <c r="O62" s="221">
        <v>0</v>
      </c>
      <c r="AA62" s="195"/>
      <c r="AB62" s="195"/>
      <c r="AC62" s="195"/>
      <c r="AD62" s="195"/>
      <c r="AF62" s="195">
        <f t="shared" si="9"/>
        <v>0</v>
      </c>
      <c r="AH62" s="184">
        <v>41</v>
      </c>
      <c r="AJ62" s="184">
        <v>0</v>
      </c>
    </row>
    <row r="63" spans="1:36" x14ac:dyDescent="0.25">
      <c r="B63" s="224" t="s">
        <v>216</v>
      </c>
      <c r="C63" s="212">
        <v>4121354</v>
      </c>
      <c r="D63" s="213"/>
      <c r="E63" s="221">
        <f>63620.75-700000</f>
        <v>-636379.25</v>
      </c>
      <c r="F63" s="230"/>
      <c r="G63" s="222">
        <f>'[1]Emergency Funds'!G22</f>
        <v>3484974.75</v>
      </c>
      <c r="H63" s="223">
        <f>'[1]Emergency Funds'!H22</f>
        <v>0</v>
      </c>
      <c r="I63" s="221"/>
      <c r="J63" s="226"/>
      <c r="K63" s="226"/>
      <c r="L63" s="221">
        <f t="shared" si="8"/>
        <v>3484974.75</v>
      </c>
      <c r="M63" s="221">
        <f t="shared" si="10"/>
        <v>0</v>
      </c>
      <c r="N63" s="221">
        <v>0</v>
      </c>
      <c r="O63" s="221">
        <v>0</v>
      </c>
      <c r="AA63" s="195"/>
      <c r="AB63" s="195"/>
      <c r="AC63" s="195"/>
      <c r="AD63" s="195"/>
      <c r="AF63" s="195">
        <f t="shared" si="9"/>
        <v>0</v>
      </c>
      <c r="AH63" s="184">
        <v>42</v>
      </c>
    </row>
    <row r="64" spans="1:36" x14ac:dyDescent="0.25">
      <c r="B64" s="184" t="s">
        <v>244</v>
      </c>
      <c r="C64" s="212"/>
      <c r="D64" s="213"/>
      <c r="E64" s="221">
        <v>700000</v>
      </c>
      <c r="F64" s="230"/>
      <c r="G64" s="222">
        <f>[1]UMES!F36</f>
        <v>700000</v>
      </c>
      <c r="H64" s="223">
        <f>[1]UMES!H36</f>
        <v>0</v>
      </c>
      <c r="I64" s="221"/>
      <c r="J64" s="226">
        <f>[1]UMES!J36</f>
        <v>0</v>
      </c>
      <c r="K64" s="226">
        <f>[1]UMES!K36</f>
        <v>0</v>
      </c>
      <c r="L64" s="221">
        <f t="shared" si="8"/>
        <v>700000</v>
      </c>
      <c r="M64" s="221">
        <f>H64-N64-O64</f>
        <v>0</v>
      </c>
      <c r="N64" s="221">
        <v>0</v>
      </c>
      <c r="O64" s="221">
        <v>0</v>
      </c>
      <c r="AA64" s="195"/>
      <c r="AB64" s="195"/>
      <c r="AC64" s="195"/>
      <c r="AD64" s="195"/>
      <c r="AF64" s="195">
        <f t="shared" si="9"/>
        <v>0</v>
      </c>
    </row>
    <row r="65" spans="1:36" x14ac:dyDescent="0.25">
      <c r="B65" s="224"/>
      <c r="C65" s="212"/>
      <c r="D65" s="213"/>
      <c r="E65" s="213"/>
      <c r="F65" s="214"/>
      <c r="G65" s="215"/>
      <c r="H65" s="216"/>
      <c r="I65" s="213"/>
      <c r="J65" s="217"/>
      <c r="K65" s="217"/>
      <c r="L65" s="213"/>
      <c r="M65" s="213"/>
      <c r="N65" s="213"/>
      <c r="O65" s="213"/>
      <c r="AA65" s="195"/>
      <c r="AB65" s="195"/>
      <c r="AC65" s="195"/>
      <c r="AD65" s="195"/>
      <c r="AH65" s="184">
        <v>43</v>
      </c>
    </row>
    <row r="66" spans="1:36" ht="13.8" thickBot="1" x14ac:dyDescent="0.3">
      <c r="B66" s="227" t="s">
        <v>227</v>
      </c>
      <c r="C66" s="228">
        <f t="shared" ref="C66:H66" si="11">SUM(C50:C65)</f>
        <v>30000000</v>
      </c>
      <c r="D66" s="228">
        <f t="shared" si="11"/>
        <v>0</v>
      </c>
      <c r="E66" s="228">
        <f t="shared" si="11"/>
        <v>63620.75</v>
      </c>
      <c r="F66" s="228">
        <f t="shared" si="11"/>
        <v>897052.64999999991</v>
      </c>
      <c r="G66" s="228">
        <f t="shared" si="11"/>
        <v>29166568.099999994</v>
      </c>
      <c r="H66" s="228">
        <f t="shared" si="11"/>
        <v>14253717.82</v>
      </c>
      <c r="I66" s="228">
        <f>SUM(I50:I63)</f>
        <v>0</v>
      </c>
      <c r="J66" s="228">
        <f t="shared" ref="J66:O66" si="12">SUM(J50:J65)</f>
        <v>0</v>
      </c>
      <c r="K66" s="228">
        <f t="shared" si="12"/>
        <v>0</v>
      </c>
      <c r="L66" s="228">
        <f t="shared" si="12"/>
        <v>14912850.280000001</v>
      </c>
      <c r="M66" s="228">
        <f t="shared" si="12"/>
        <v>1287511.7699999996</v>
      </c>
      <c r="N66" s="228">
        <f t="shared" si="12"/>
        <v>7479624.8299999991</v>
      </c>
      <c r="O66" s="228">
        <f t="shared" si="12"/>
        <v>5486581.2199999997</v>
      </c>
      <c r="U66" s="227" t="s">
        <v>218</v>
      </c>
      <c r="V66" s="192">
        <v>22</v>
      </c>
      <c r="AA66" s="228" t="e">
        <f>SUM(#REF!)</f>
        <v>#REF!</v>
      </c>
      <c r="AB66" s="228" t="e">
        <f>SUM(#REF!)</f>
        <v>#REF!</v>
      </c>
      <c r="AC66" s="228" t="e">
        <f>SUM(#REF!)</f>
        <v>#REF!</v>
      </c>
      <c r="AD66" s="228" t="e">
        <f>SUM(#REF!)</f>
        <v>#REF!</v>
      </c>
      <c r="AF66" s="195">
        <f>C66+D66+E66-F66-G66</f>
        <v>0</v>
      </c>
      <c r="AH66" s="184">
        <v>44</v>
      </c>
      <c r="AJ66" s="184">
        <v>11681822.739999998</v>
      </c>
    </row>
    <row r="67" spans="1:36" ht="13.8" thickTop="1" x14ac:dyDescent="0.25">
      <c r="C67" s="212"/>
      <c r="D67" s="213"/>
      <c r="E67" s="213"/>
      <c r="F67" s="214"/>
      <c r="G67" s="215"/>
      <c r="H67" s="216"/>
      <c r="I67" s="213"/>
      <c r="J67" s="217"/>
      <c r="K67" s="217"/>
      <c r="L67" s="213"/>
      <c r="M67" s="213"/>
      <c r="N67" s="213"/>
      <c r="O67" s="213"/>
      <c r="AA67" s="195"/>
      <c r="AB67" s="195"/>
      <c r="AC67" s="195"/>
      <c r="AD67" s="195"/>
      <c r="AH67" s="184">
        <v>45</v>
      </c>
    </row>
    <row r="68" spans="1:36" x14ac:dyDescent="0.25">
      <c r="A68" s="224" t="s">
        <v>228</v>
      </c>
      <c r="C68" s="212"/>
      <c r="D68" s="213"/>
      <c r="E68" s="213"/>
      <c r="F68" s="214"/>
      <c r="G68" s="215"/>
      <c r="H68" s="216"/>
      <c r="I68" s="213"/>
      <c r="J68" s="217"/>
      <c r="K68" s="217"/>
      <c r="L68" s="213"/>
      <c r="M68" s="213"/>
      <c r="N68" s="213"/>
      <c r="O68" s="213"/>
      <c r="AA68" s="195"/>
      <c r="AB68" s="195"/>
      <c r="AC68" s="195"/>
      <c r="AD68" s="195"/>
      <c r="AH68" s="184">
        <v>46</v>
      </c>
    </row>
    <row r="69" spans="1:36" x14ac:dyDescent="0.25">
      <c r="A69" s="224"/>
      <c r="B69" s="184" t="s">
        <v>229</v>
      </c>
      <c r="C69" s="212">
        <v>7760000</v>
      </c>
      <c r="D69" s="213"/>
      <c r="E69" s="213"/>
      <c r="F69" s="226">
        <f>7760000</f>
        <v>7760000</v>
      </c>
      <c r="G69" s="222">
        <f>[1]UMCP!F196</f>
        <v>0</v>
      </c>
      <c r="H69" s="223">
        <f>[1]UMCP!H196</f>
        <v>0</v>
      </c>
      <c r="I69" s="221"/>
      <c r="J69" s="226">
        <f>[1]UMCP!J196</f>
        <v>0</v>
      </c>
      <c r="K69" s="226">
        <f>[1]UMCP!K196</f>
        <v>0</v>
      </c>
      <c r="L69" s="221">
        <f>G69-H69-I69-J69-K69</f>
        <v>0</v>
      </c>
      <c r="M69" s="221">
        <f>H69-N69-O69</f>
        <v>0</v>
      </c>
      <c r="N69" s="221">
        <v>0</v>
      </c>
      <c r="O69" s="221">
        <v>0</v>
      </c>
      <c r="AA69" s="195"/>
      <c r="AB69" s="195"/>
      <c r="AC69" s="195"/>
      <c r="AD69" s="195"/>
      <c r="AF69" s="195">
        <f>C69+D69+E69-F69-G69</f>
        <v>0</v>
      </c>
      <c r="AH69" s="184">
        <v>47</v>
      </c>
      <c r="AI69" s="184" t="s">
        <v>200</v>
      </c>
      <c r="AJ69" s="184">
        <v>0</v>
      </c>
    </row>
    <row r="70" spans="1:36" x14ac:dyDescent="0.25">
      <c r="A70" s="224"/>
      <c r="B70" s="184" t="s">
        <v>230</v>
      </c>
      <c r="C70" s="212">
        <v>23550000</v>
      </c>
      <c r="D70" s="213"/>
      <c r="E70" s="213"/>
      <c r="F70" s="226">
        <v>23550000</v>
      </c>
      <c r="G70" s="222">
        <f>[1]UMCP!F201</f>
        <v>0</v>
      </c>
      <c r="H70" s="223">
        <f>[1]UMCP!H201</f>
        <v>0</v>
      </c>
      <c r="I70" s="221"/>
      <c r="J70" s="226">
        <f>[1]UMCP!J201</f>
        <v>0</v>
      </c>
      <c r="K70" s="226">
        <f>[1]UMCP!K201</f>
        <v>0</v>
      </c>
      <c r="L70" s="221">
        <f>G70-H70-I70-J70-K70</f>
        <v>0</v>
      </c>
      <c r="M70" s="221">
        <f>H70-N70-O70</f>
        <v>0</v>
      </c>
      <c r="N70" s="221">
        <v>0</v>
      </c>
      <c r="O70" s="221">
        <v>0</v>
      </c>
      <c r="AA70" s="195"/>
      <c r="AB70" s="195"/>
      <c r="AC70" s="195"/>
      <c r="AD70" s="195"/>
      <c r="AF70" s="195">
        <f>C70+D70+E70-F70-G70</f>
        <v>0</v>
      </c>
      <c r="AH70" s="184">
        <v>48</v>
      </c>
      <c r="AI70" s="184" t="s">
        <v>200</v>
      </c>
      <c r="AJ70" s="184">
        <v>0</v>
      </c>
    </row>
    <row r="71" spans="1:36" x14ac:dyDescent="0.25">
      <c r="A71" s="224"/>
      <c r="B71" s="184" t="s">
        <v>231</v>
      </c>
      <c r="C71" s="212">
        <v>3360000</v>
      </c>
      <c r="D71" s="213">
        <v>-377822.1</v>
      </c>
      <c r="E71" s="213"/>
      <c r="F71" s="100">
        <v>2982177.9</v>
      </c>
      <c r="G71" s="222">
        <f>[1]UMCP!F209</f>
        <v>0</v>
      </c>
      <c r="H71" s="223">
        <f>[1]UMCP!H209</f>
        <v>0</v>
      </c>
      <c r="I71" s="221"/>
      <c r="J71" s="226">
        <f>[1]UMCP!J209</f>
        <v>0</v>
      </c>
      <c r="K71" s="226">
        <f>[1]UMCP!K209</f>
        <v>0</v>
      </c>
      <c r="L71" s="221">
        <f>G71-H71-I71-J71-K71</f>
        <v>0</v>
      </c>
      <c r="M71" s="221">
        <f>H71-N71-O71</f>
        <v>0</v>
      </c>
      <c r="N71" s="221">
        <v>0</v>
      </c>
      <c r="O71" s="221">
        <v>0</v>
      </c>
      <c r="AA71" s="195"/>
      <c r="AB71" s="195"/>
      <c r="AC71" s="195"/>
      <c r="AD71" s="195"/>
      <c r="AF71" s="195">
        <f>C71+D71+E71-F71-G71</f>
        <v>0</v>
      </c>
      <c r="AH71" s="184">
        <v>49</v>
      </c>
      <c r="AI71" s="184" t="s">
        <v>200</v>
      </c>
      <c r="AJ71" s="184">
        <v>0</v>
      </c>
    </row>
    <row r="72" spans="1:36" x14ac:dyDescent="0.25">
      <c r="B72" s="184" t="s">
        <v>203</v>
      </c>
      <c r="C72" s="212">
        <v>10268103</v>
      </c>
      <c r="D72" s="213"/>
      <c r="E72" s="213"/>
      <c r="F72" s="100">
        <f>3074614.24+2436804.38+487.26</f>
        <v>5511905.8799999999</v>
      </c>
      <c r="G72" s="222">
        <f>[1]UMB!F98</f>
        <v>4756197.12</v>
      </c>
      <c r="H72" s="223">
        <f>[1]UMB!H98</f>
        <v>2253783.9700000002</v>
      </c>
      <c r="I72" s="221"/>
      <c r="J72" s="226">
        <f>[1]UMB!J98</f>
        <v>0</v>
      </c>
      <c r="K72" s="226">
        <f>[1]UMB!K98</f>
        <v>0</v>
      </c>
      <c r="L72" s="221">
        <f>G72-H72-I72-J72-K72</f>
        <v>2502413.15</v>
      </c>
      <c r="M72" s="221">
        <f>H72-N72-O72</f>
        <v>127370.02000000002</v>
      </c>
      <c r="N72" s="221">
        <v>561372.7200000002</v>
      </c>
      <c r="O72" s="221">
        <v>1565041.23</v>
      </c>
      <c r="AA72" s="195"/>
      <c r="AB72" s="195"/>
      <c r="AC72" s="195"/>
      <c r="AD72" s="195"/>
      <c r="AF72" s="195">
        <f>C72+D72+E72-F72-G72</f>
        <v>0</v>
      </c>
      <c r="AH72" s="184">
        <v>50</v>
      </c>
      <c r="AI72" s="184" t="s">
        <v>200</v>
      </c>
      <c r="AJ72" s="184">
        <v>2070668.07</v>
      </c>
    </row>
    <row r="73" spans="1:36" x14ac:dyDescent="0.25">
      <c r="B73" s="184" t="s">
        <v>232</v>
      </c>
      <c r="C73" s="212">
        <v>3230000</v>
      </c>
      <c r="D73" s="221">
        <f>-1000000-2230000</f>
        <v>-3230000</v>
      </c>
      <c r="E73" s="213"/>
      <c r="F73" s="187"/>
      <c r="G73" s="222">
        <f>'[1]USM &amp; COI'!G78</f>
        <v>0</v>
      </c>
      <c r="H73" s="223">
        <f>'[1]USM &amp; COI'!H78</f>
        <v>0</v>
      </c>
      <c r="I73" s="221"/>
      <c r="J73" s="226">
        <f>'[1]USM &amp; COI'!J78</f>
        <v>0</v>
      </c>
      <c r="K73" s="226">
        <f>'[1]USM &amp; COI'!K78</f>
        <v>0</v>
      </c>
      <c r="L73" s="221">
        <f>G73-H73-I73-J73-K73</f>
        <v>0</v>
      </c>
      <c r="M73" s="221">
        <f>H73-N73-O73</f>
        <v>0</v>
      </c>
      <c r="N73" s="221">
        <v>0</v>
      </c>
      <c r="O73" s="221">
        <v>0</v>
      </c>
      <c r="AA73" s="195"/>
      <c r="AB73" s="195"/>
      <c r="AC73" s="195"/>
      <c r="AD73" s="195"/>
      <c r="AF73" s="195">
        <f>C73+D73+E73-F73-G73</f>
        <v>0</v>
      </c>
      <c r="AH73" s="184">
        <v>51</v>
      </c>
      <c r="AJ73" s="184">
        <v>0</v>
      </c>
    </row>
    <row r="74" spans="1:36" x14ac:dyDescent="0.25">
      <c r="C74" s="212"/>
      <c r="D74" s="213"/>
      <c r="E74" s="213"/>
      <c r="F74" s="214"/>
      <c r="G74" s="215"/>
      <c r="H74" s="216"/>
      <c r="I74" s="213"/>
      <c r="J74" s="217"/>
      <c r="K74" s="217"/>
      <c r="L74" s="213"/>
      <c r="M74" s="213"/>
      <c r="N74" s="213"/>
      <c r="O74" s="213"/>
      <c r="AA74" s="195"/>
      <c r="AB74" s="195"/>
      <c r="AC74" s="195"/>
      <c r="AD74" s="195"/>
      <c r="AH74" s="184">
        <v>52</v>
      </c>
    </row>
    <row r="75" spans="1:36" ht="13.8" thickBot="1" x14ac:dyDescent="0.3">
      <c r="B75" s="227" t="s">
        <v>233</v>
      </c>
      <c r="C75" s="228">
        <f>SUM(C69:C74)</f>
        <v>48168103</v>
      </c>
      <c r="D75" s="228">
        <f t="shared" ref="D75:O75" si="13">SUM(D69:D74)</f>
        <v>-3607822.1</v>
      </c>
      <c r="E75" s="228">
        <f t="shared" si="13"/>
        <v>0</v>
      </c>
      <c r="F75" s="228">
        <f t="shared" si="13"/>
        <v>39804083.780000001</v>
      </c>
      <c r="G75" s="228">
        <f t="shared" si="13"/>
        <v>4756197.12</v>
      </c>
      <c r="H75" s="228">
        <f t="shared" si="13"/>
        <v>2253783.9700000002</v>
      </c>
      <c r="I75" s="228">
        <f t="shared" si="13"/>
        <v>0</v>
      </c>
      <c r="J75" s="228">
        <f t="shared" si="13"/>
        <v>0</v>
      </c>
      <c r="K75" s="228">
        <f t="shared" si="13"/>
        <v>0</v>
      </c>
      <c r="L75" s="228">
        <f t="shared" si="13"/>
        <v>2502413.15</v>
      </c>
      <c r="M75" s="228">
        <f t="shared" si="13"/>
        <v>127370.02000000002</v>
      </c>
      <c r="N75" s="228">
        <f t="shared" si="13"/>
        <v>561372.7200000002</v>
      </c>
      <c r="O75" s="228">
        <f t="shared" si="13"/>
        <v>1565041.23</v>
      </c>
      <c r="U75" s="227" t="s">
        <v>218</v>
      </c>
      <c r="V75" s="192">
        <v>22</v>
      </c>
      <c r="AA75" s="228" t="e">
        <f>SUM(#REF!)</f>
        <v>#REF!</v>
      </c>
      <c r="AB75" s="228" t="e">
        <f>SUM(#REF!)</f>
        <v>#REF!</v>
      </c>
      <c r="AC75" s="228" t="e">
        <f>SUM(#REF!)</f>
        <v>#REF!</v>
      </c>
      <c r="AD75" s="228" t="e">
        <f>SUM(#REF!)</f>
        <v>#REF!</v>
      </c>
      <c r="AF75" s="195">
        <f>C75+D75+E75-F75-G75</f>
        <v>0</v>
      </c>
      <c r="AH75" s="184">
        <v>53</v>
      </c>
      <c r="AJ75" s="184">
        <v>2070668.07</v>
      </c>
    </row>
    <row r="76" spans="1:36" ht="13.8" thickTop="1" x14ac:dyDescent="0.25">
      <c r="C76" s="212"/>
      <c r="D76" s="213"/>
      <c r="E76" s="213"/>
      <c r="F76" s="214"/>
      <c r="G76" s="215"/>
      <c r="H76" s="216"/>
      <c r="I76" s="213"/>
      <c r="J76" s="217"/>
      <c r="K76" s="217"/>
      <c r="L76" s="213"/>
      <c r="M76" s="213"/>
      <c r="N76" s="213"/>
      <c r="O76" s="213"/>
      <c r="AA76" s="195"/>
      <c r="AB76" s="195"/>
      <c r="AC76" s="195"/>
      <c r="AD76" s="195"/>
      <c r="AH76" s="184">
        <v>54</v>
      </c>
    </row>
    <row r="77" spans="1:36" x14ac:dyDescent="0.25">
      <c r="A77" s="224" t="s">
        <v>234</v>
      </c>
      <c r="C77" s="212"/>
      <c r="D77" s="213"/>
      <c r="E77" s="213"/>
      <c r="F77" s="187"/>
      <c r="G77" s="222"/>
      <c r="H77" s="223"/>
      <c r="I77" s="222"/>
      <c r="J77" s="222"/>
      <c r="K77" s="222"/>
      <c r="L77" s="221"/>
      <c r="M77" s="221"/>
      <c r="N77" s="221"/>
      <c r="O77" s="221"/>
      <c r="T77" s="224" t="s">
        <v>198</v>
      </c>
      <c r="V77" s="192">
        <v>5</v>
      </c>
      <c r="AH77" s="184">
        <v>55</v>
      </c>
    </row>
    <row r="78" spans="1:36" x14ac:dyDescent="0.25">
      <c r="B78" s="184" t="s">
        <v>235</v>
      </c>
      <c r="C78" s="212">
        <v>5000000</v>
      </c>
      <c r="D78" s="213"/>
      <c r="E78" s="213"/>
      <c r="F78" s="226">
        <f>187966.72+1357440.43</f>
        <v>1545407.15</v>
      </c>
      <c r="G78" s="222">
        <f>[1]UMCP!F177</f>
        <v>3454592.8500000006</v>
      </c>
      <c r="H78" s="223">
        <f>[1]UMCP!H177</f>
        <v>30672.97</v>
      </c>
      <c r="I78" s="213"/>
      <c r="J78" s="217"/>
      <c r="K78" s="226">
        <f>[1]UMCP!K177</f>
        <v>0</v>
      </c>
      <c r="L78" s="221">
        <f>G78-H78-I78-J78-K78</f>
        <v>3423919.8800000004</v>
      </c>
      <c r="M78" s="221">
        <f t="shared" ref="M78:M92" si="14">H78-N78-O78</f>
        <v>24022.97</v>
      </c>
      <c r="N78" s="221">
        <v>6650</v>
      </c>
      <c r="O78" s="221">
        <v>0</v>
      </c>
      <c r="AA78" s="195"/>
      <c r="AB78" s="195"/>
      <c r="AC78" s="195"/>
      <c r="AD78" s="195"/>
      <c r="AF78" s="195">
        <f t="shared" ref="AF78:AF92" si="15">C78+D78+E78-F78-G78</f>
        <v>0</v>
      </c>
      <c r="AH78" s="184">
        <v>56</v>
      </c>
      <c r="AI78" s="184" t="s">
        <v>200</v>
      </c>
      <c r="AJ78" s="184">
        <v>0</v>
      </c>
    </row>
    <row r="79" spans="1:36" x14ac:dyDescent="0.25">
      <c r="B79" s="184" t="s">
        <v>236</v>
      </c>
      <c r="C79" s="212">
        <v>10000000</v>
      </c>
      <c r="D79" s="213"/>
      <c r="E79" s="213"/>
      <c r="F79" s="226">
        <f>4026.61+2117361.09+420341.95</f>
        <v>2541729.65</v>
      </c>
      <c r="G79" s="222">
        <f>[1]UMES!F144</f>
        <v>7458270.3500000006</v>
      </c>
      <c r="H79" s="223">
        <f>[1]UMES!H144</f>
        <v>1399881.2299999997</v>
      </c>
      <c r="I79" s="213"/>
      <c r="J79" s="217"/>
      <c r="K79" s="217"/>
      <c r="L79" s="221">
        <f t="shared" ref="L79:L92" si="16">G79-H79-I79-J79-K79</f>
        <v>6058389.120000001</v>
      </c>
      <c r="M79" s="221">
        <f t="shared" si="14"/>
        <v>71901.839999999851</v>
      </c>
      <c r="N79" s="221">
        <v>1327979.3899999999</v>
      </c>
      <c r="O79" s="221">
        <v>0</v>
      </c>
      <c r="AA79" s="195"/>
      <c r="AB79" s="195"/>
      <c r="AC79" s="195"/>
      <c r="AD79" s="195"/>
      <c r="AF79" s="195">
        <f t="shared" si="15"/>
        <v>0</v>
      </c>
      <c r="AH79" s="184">
        <v>57</v>
      </c>
      <c r="AI79" s="184" t="s">
        <v>200</v>
      </c>
      <c r="AJ79" s="184">
        <v>0</v>
      </c>
    </row>
    <row r="80" spans="1:36" x14ac:dyDescent="0.25">
      <c r="B80" s="184" t="s">
        <v>237</v>
      </c>
      <c r="C80" s="212">
        <v>5000000</v>
      </c>
      <c r="D80" s="213"/>
      <c r="E80" s="213"/>
      <c r="F80" s="226">
        <f>60956.13+1036219.92+6874.52</f>
        <v>1104050.57</v>
      </c>
      <c r="G80" s="222">
        <f>[1]FSU!F166</f>
        <v>3895949.43</v>
      </c>
      <c r="H80" s="223">
        <f>[1]FSU!H166</f>
        <v>282946.76</v>
      </c>
      <c r="I80" s="213"/>
      <c r="J80" s="217"/>
      <c r="K80" s="217"/>
      <c r="L80" s="221">
        <f t="shared" si="16"/>
        <v>3613002.67</v>
      </c>
      <c r="M80" s="221">
        <f t="shared" si="14"/>
        <v>164078.53000000003</v>
      </c>
      <c r="N80" s="221">
        <v>118868.23</v>
      </c>
      <c r="O80" s="221">
        <v>0</v>
      </c>
      <c r="AA80" s="195"/>
      <c r="AB80" s="195"/>
      <c r="AC80" s="195"/>
      <c r="AD80" s="195"/>
      <c r="AF80" s="195">
        <f t="shared" si="15"/>
        <v>0</v>
      </c>
      <c r="AH80" s="184">
        <v>58</v>
      </c>
      <c r="AI80" s="184" t="s">
        <v>200</v>
      </c>
      <c r="AJ80" s="184">
        <v>0</v>
      </c>
    </row>
    <row r="81" spans="1:36" x14ac:dyDescent="0.25">
      <c r="B81" s="224" t="s">
        <v>201</v>
      </c>
      <c r="C81" s="212"/>
      <c r="D81" s="213"/>
      <c r="E81" s="213"/>
      <c r="F81" s="214"/>
      <c r="G81" s="222"/>
      <c r="H81" s="216"/>
      <c r="I81" s="213"/>
      <c r="J81" s="217"/>
      <c r="K81" s="217"/>
      <c r="L81" s="221"/>
      <c r="M81" s="221">
        <f t="shared" si="14"/>
        <v>0</v>
      </c>
      <c r="N81" s="221"/>
      <c r="O81" s="221"/>
      <c r="AA81" s="195"/>
      <c r="AB81" s="195"/>
      <c r="AC81" s="195"/>
      <c r="AD81" s="195"/>
      <c r="AF81" s="195">
        <f t="shared" si="15"/>
        <v>0</v>
      </c>
      <c r="AH81" s="184">
        <v>59</v>
      </c>
    </row>
    <row r="82" spans="1:36" x14ac:dyDescent="0.25">
      <c r="B82" s="184" t="s">
        <v>202</v>
      </c>
      <c r="C82" s="212">
        <v>4744551</v>
      </c>
      <c r="D82" s="213"/>
      <c r="E82" s="213"/>
      <c r="F82" s="226">
        <f>723026.82+4021524.18</f>
        <v>4744551</v>
      </c>
      <c r="G82" s="222">
        <f>[1]UMCP!F108</f>
        <v>0</v>
      </c>
      <c r="H82" s="223">
        <f>[1]UMCP!H108</f>
        <v>0</v>
      </c>
      <c r="I82" s="213"/>
      <c r="J82" s="217"/>
      <c r="K82" s="226">
        <f>[1]UMCP!K108</f>
        <v>0</v>
      </c>
      <c r="L82" s="221">
        <f t="shared" si="16"/>
        <v>0</v>
      </c>
      <c r="M82" s="221">
        <f t="shared" si="14"/>
        <v>0</v>
      </c>
      <c r="N82" s="221">
        <v>0</v>
      </c>
      <c r="O82" s="221">
        <v>0</v>
      </c>
      <c r="AA82" s="195"/>
      <c r="AB82" s="195"/>
      <c r="AC82" s="195"/>
      <c r="AD82" s="195"/>
      <c r="AF82" s="195">
        <f t="shared" si="15"/>
        <v>0</v>
      </c>
      <c r="AH82" s="184">
        <v>60</v>
      </c>
      <c r="AJ82" s="184">
        <v>0</v>
      </c>
    </row>
    <row r="83" spans="1:36" x14ac:dyDescent="0.25">
      <c r="B83" s="184" t="s">
        <v>203</v>
      </c>
      <c r="C83" s="212">
        <v>1926995</v>
      </c>
      <c r="D83" s="213"/>
      <c r="E83" s="213"/>
      <c r="F83" s="226">
        <f>500000+26189+40850.54</f>
        <v>567039.54</v>
      </c>
      <c r="G83" s="222">
        <f>[1]UMB!F117</f>
        <v>1359955.46</v>
      </c>
      <c r="H83" s="223">
        <f>[1]UMB!H117</f>
        <v>719427.3600000001</v>
      </c>
      <c r="I83" s="213"/>
      <c r="J83" s="217"/>
      <c r="K83" s="217"/>
      <c r="L83" s="221">
        <f>G83-H83-I83-J83-K83</f>
        <v>640528.09999999986</v>
      </c>
      <c r="M83" s="221">
        <f t="shared" si="14"/>
        <v>189102</v>
      </c>
      <c r="N83" s="221">
        <v>185189.8600000001</v>
      </c>
      <c r="O83" s="221">
        <v>345135.5</v>
      </c>
      <c r="AA83" s="195"/>
      <c r="AB83" s="195"/>
      <c r="AC83" s="195"/>
      <c r="AD83" s="195"/>
      <c r="AF83" s="195">
        <f t="shared" si="15"/>
        <v>0</v>
      </c>
      <c r="AH83" s="184">
        <v>61</v>
      </c>
      <c r="AJ83" s="184">
        <v>359471.9</v>
      </c>
    </row>
    <row r="84" spans="1:36" x14ac:dyDescent="0.25">
      <c r="B84" s="184" t="s">
        <v>204</v>
      </c>
      <c r="C84" s="212">
        <v>563795</v>
      </c>
      <c r="D84" s="213"/>
      <c r="E84" s="213"/>
      <c r="F84" s="226">
        <v>0</v>
      </c>
      <c r="G84" s="222">
        <f>[1]UMES!F71</f>
        <v>563795</v>
      </c>
      <c r="H84" s="223">
        <f>[1]UMES!H71</f>
        <v>424374.56</v>
      </c>
      <c r="I84" s="213"/>
      <c r="J84" s="217"/>
      <c r="K84" s="226">
        <f>[1]UMES!K71</f>
        <v>0</v>
      </c>
      <c r="L84" s="221">
        <f t="shared" si="16"/>
        <v>139420.44</v>
      </c>
      <c r="M84" s="221">
        <f t="shared" si="14"/>
        <v>0</v>
      </c>
      <c r="N84" s="221">
        <v>4385.5599999999977</v>
      </c>
      <c r="O84" s="221">
        <v>419989</v>
      </c>
      <c r="AA84" s="195"/>
      <c r="AB84" s="195"/>
      <c r="AC84" s="195"/>
      <c r="AD84" s="195"/>
      <c r="AF84" s="195">
        <f t="shared" si="15"/>
        <v>0</v>
      </c>
      <c r="AH84" s="184">
        <v>62</v>
      </c>
      <c r="AJ84" s="184">
        <v>424374.56</v>
      </c>
    </row>
    <row r="85" spans="1:36" x14ac:dyDescent="0.25">
      <c r="B85" s="184" t="s">
        <v>205</v>
      </c>
      <c r="C85" s="212">
        <v>1081882</v>
      </c>
      <c r="D85" s="213"/>
      <c r="E85" s="213"/>
      <c r="F85" s="226"/>
      <c r="G85" s="222">
        <f>[1]UMBC!F42</f>
        <v>1081882</v>
      </c>
      <c r="H85" s="223">
        <f>[1]UMBC!H42</f>
        <v>0</v>
      </c>
      <c r="I85" s="213"/>
      <c r="J85" s="217"/>
      <c r="K85" s="217"/>
      <c r="L85" s="221">
        <f t="shared" si="16"/>
        <v>1081882</v>
      </c>
      <c r="M85" s="221">
        <f t="shared" si="14"/>
        <v>0</v>
      </c>
      <c r="N85" s="221">
        <v>0</v>
      </c>
      <c r="O85" s="221">
        <v>0</v>
      </c>
      <c r="AA85" s="195"/>
      <c r="AB85" s="195"/>
      <c r="AC85" s="195"/>
      <c r="AD85" s="195"/>
      <c r="AF85" s="195">
        <f t="shared" si="15"/>
        <v>0</v>
      </c>
      <c r="AH85" s="184">
        <v>63</v>
      </c>
      <c r="AJ85" s="184">
        <v>0</v>
      </c>
    </row>
    <row r="86" spans="1:36" x14ac:dyDescent="0.25">
      <c r="B86" s="184" t="s">
        <v>206</v>
      </c>
      <c r="C86" s="212">
        <v>206031</v>
      </c>
      <c r="D86" s="213"/>
      <c r="E86" s="213"/>
      <c r="F86" s="226"/>
      <c r="G86" s="222">
        <f>[1]UMCES!F26</f>
        <v>206031</v>
      </c>
      <c r="H86" s="223">
        <f>[1]UMCES!H26</f>
        <v>0</v>
      </c>
      <c r="I86" s="213"/>
      <c r="J86" s="217"/>
      <c r="K86" s="217"/>
      <c r="L86" s="221">
        <f t="shared" si="16"/>
        <v>206031</v>
      </c>
      <c r="M86" s="221">
        <f t="shared" si="14"/>
        <v>0</v>
      </c>
      <c r="N86" s="221">
        <v>-141453.12</v>
      </c>
      <c r="O86" s="221">
        <v>141453.12</v>
      </c>
      <c r="AA86" s="195"/>
      <c r="AB86" s="195"/>
      <c r="AC86" s="195"/>
      <c r="AD86" s="195"/>
      <c r="AF86" s="195">
        <f t="shared" si="15"/>
        <v>0</v>
      </c>
      <c r="AH86" s="184">
        <v>64</v>
      </c>
      <c r="AJ86" s="184">
        <v>0</v>
      </c>
    </row>
    <row r="87" spans="1:36" x14ac:dyDescent="0.25">
      <c r="B87" s="184" t="s">
        <v>207</v>
      </c>
      <c r="C87" s="212">
        <v>490197</v>
      </c>
      <c r="D87" s="213"/>
      <c r="E87" s="213"/>
      <c r="F87" s="226">
        <f>23144.51+447527.34</f>
        <v>470671.85000000003</v>
      </c>
      <c r="G87" s="222">
        <f>[1]BSU!F51</f>
        <v>19525.149999999965</v>
      </c>
      <c r="H87" s="223">
        <f>[1]BSU!H51</f>
        <v>19525.150000000001</v>
      </c>
      <c r="I87" s="213"/>
      <c r="J87" s="217"/>
      <c r="K87" s="226">
        <f>[1]BSU!K51</f>
        <v>0</v>
      </c>
      <c r="L87" s="221">
        <f t="shared" si="16"/>
        <v>-3.637978807091713E-11</v>
      </c>
      <c r="M87" s="221">
        <f t="shared" si="14"/>
        <v>1274.0999999999979</v>
      </c>
      <c r="N87" s="221">
        <v>17041.660000000003</v>
      </c>
      <c r="O87" s="221">
        <v>1209.3900000000001</v>
      </c>
      <c r="AA87" s="195"/>
      <c r="AB87" s="195"/>
      <c r="AC87" s="195"/>
      <c r="AD87" s="195"/>
      <c r="AF87" s="195">
        <f t="shared" si="15"/>
        <v>0</v>
      </c>
      <c r="AH87" s="184">
        <v>65</v>
      </c>
      <c r="AJ87" s="184">
        <v>2221.42</v>
      </c>
    </row>
    <row r="88" spans="1:36" x14ac:dyDescent="0.25">
      <c r="B88" s="184" t="s">
        <v>208</v>
      </c>
      <c r="C88" s="212">
        <v>457081</v>
      </c>
      <c r="D88" s="213"/>
      <c r="E88" s="213"/>
      <c r="F88" s="226">
        <f>198994.71</f>
        <v>198994.71</v>
      </c>
      <c r="G88" s="222">
        <f>[1]CSU!F47</f>
        <v>258086.28999999998</v>
      </c>
      <c r="H88" s="223">
        <f>[1]CSU!H47</f>
        <v>258086.28999999998</v>
      </c>
      <c r="I88" s="213"/>
      <c r="J88" s="217"/>
      <c r="K88" s="226">
        <f>[1]CSU!K47</f>
        <v>0</v>
      </c>
      <c r="L88" s="221">
        <f t="shared" si="16"/>
        <v>0</v>
      </c>
      <c r="M88" s="221">
        <f t="shared" si="14"/>
        <v>0</v>
      </c>
      <c r="N88" s="221">
        <v>123479.23999999999</v>
      </c>
      <c r="O88" s="221">
        <v>134607.04999999999</v>
      </c>
      <c r="AA88" s="195"/>
      <c r="AB88" s="195"/>
      <c r="AC88" s="195"/>
      <c r="AD88" s="195"/>
      <c r="AF88" s="195">
        <f t="shared" si="15"/>
        <v>0</v>
      </c>
      <c r="AH88" s="184">
        <v>66</v>
      </c>
      <c r="AJ88" s="184">
        <v>258086.28999999998</v>
      </c>
    </row>
    <row r="89" spans="1:36" x14ac:dyDescent="0.25">
      <c r="B89" s="184" t="s">
        <v>209</v>
      </c>
      <c r="C89" s="212">
        <v>419210</v>
      </c>
      <c r="D89" s="213"/>
      <c r="E89" s="213"/>
      <c r="F89" s="226">
        <f>41693.17+94557.56</f>
        <v>136250.72999999998</v>
      </c>
      <c r="G89" s="222">
        <f>[1]FSU!F76</f>
        <v>282959.27</v>
      </c>
      <c r="H89" s="223">
        <f>[1]FSU!H76</f>
        <v>282959.26999999996</v>
      </c>
      <c r="I89" s="213"/>
      <c r="J89" s="217"/>
      <c r="K89" s="226">
        <f>[1]FSU!K76</f>
        <v>0</v>
      </c>
      <c r="L89" s="221">
        <f t="shared" si="16"/>
        <v>5.8207660913467407E-11</v>
      </c>
      <c r="M89" s="221">
        <f t="shared" si="14"/>
        <v>0</v>
      </c>
      <c r="N89" s="221">
        <v>39094.699999999953</v>
      </c>
      <c r="O89" s="221">
        <v>243864.57</v>
      </c>
      <c r="AA89" s="195"/>
      <c r="AB89" s="195"/>
      <c r="AC89" s="195"/>
      <c r="AD89" s="195"/>
      <c r="AF89" s="195">
        <f t="shared" si="15"/>
        <v>0</v>
      </c>
      <c r="AH89" s="184">
        <v>67</v>
      </c>
      <c r="AJ89" s="184">
        <v>282959.26999999996</v>
      </c>
    </row>
    <row r="90" spans="1:36" x14ac:dyDescent="0.25">
      <c r="B90" s="184" t="s">
        <v>226</v>
      </c>
      <c r="C90" s="212">
        <v>612726</v>
      </c>
      <c r="D90" s="213"/>
      <c r="E90" s="213"/>
      <c r="F90" s="226">
        <f>238902.37</f>
        <v>238902.37</v>
      </c>
      <c r="G90" s="222">
        <f>[1]SU!F53</f>
        <v>373823.63</v>
      </c>
      <c r="H90" s="223">
        <f>[1]SU!H53</f>
        <v>338653.17000000004</v>
      </c>
      <c r="I90" s="213"/>
      <c r="J90" s="217"/>
      <c r="K90" s="226">
        <f>[1]SU!K53</f>
        <v>0</v>
      </c>
      <c r="L90" s="221">
        <f t="shared" si="16"/>
        <v>35170.459999999963</v>
      </c>
      <c r="M90" s="221">
        <f t="shared" si="14"/>
        <v>0</v>
      </c>
      <c r="N90" s="221">
        <v>248100.00000000006</v>
      </c>
      <c r="O90" s="221">
        <v>90553.17</v>
      </c>
      <c r="AA90" s="195"/>
      <c r="AB90" s="195"/>
      <c r="AC90" s="195"/>
      <c r="AD90" s="195"/>
      <c r="AF90" s="195">
        <f t="shared" si="15"/>
        <v>0</v>
      </c>
      <c r="AH90" s="184">
        <v>68</v>
      </c>
      <c r="AJ90" s="184">
        <v>338653.17000000004</v>
      </c>
    </row>
    <row r="91" spans="1:36" x14ac:dyDescent="0.25">
      <c r="B91" s="184" t="s">
        <v>211</v>
      </c>
      <c r="C91" s="212">
        <v>1044456</v>
      </c>
      <c r="D91" s="213"/>
      <c r="E91" s="213"/>
      <c r="F91" s="214"/>
      <c r="G91" s="222">
        <f>[1]TU!F73+[1]TU!F80</f>
        <v>1044456</v>
      </c>
      <c r="H91" s="223">
        <f>[1]TU!H73+[1]TU!H80</f>
        <v>504670.47</v>
      </c>
      <c r="I91" s="213"/>
      <c r="J91" s="217"/>
      <c r="K91" s="217"/>
      <c r="L91" s="221">
        <f t="shared" si="16"/>
        <v>539785.53</v>
      </c>
      <c r="M91" s="221">
        <f t="shared" si="14"/>
        <v>487932.87</v>
      </c>
      <c r="N91" s="221">
        <v>16737.599999999999</v>
      </c>
      <c r="O91" s="221">
        <v>0</v>
      </c>
      <c r="AA91" s="195"/>
      <c r="AB91" s="195"/>
      <c r="AC91" s="195"/>
      <c r="AD91" s="195"/>
      <c r="AF91" s="195">
        <f t="shared" si="15"/>
        <v>0</v>
      </c>
      <c r="AH91" s="184">
        <v>69</v>
      </c>
      <c r="AJ91" s="184">
        <v>16737.599999999999</v>
      </c>
    </row>
    <row r="92" spans="1:36" x14ac:dyDescent="0.25">
      <c r="B92" s="184" t="s">
        <v>212</v>
      </c>
      <c r="C92" s="212">
        <v>453076</v>
      </c>
      <c r="D92" s="213"/>
      <c r="E92" s="213"/>
      <c r="F92" s="214"/>
      <c r="G92" s="222">
        <f>[1]UB!F63</f>
        <v>453076</v>
      </c>
      <c r="H92" s="223">
        <f>[1]UB!H63</f>
        <v>0</v>
      </c>
      <c r="I92" s="213"/>
      <c r="J92" s="217"/>
      <c r="K92" s="217"/>
      <c r="L92" s="221">
        <f t="shared" si="16"/>
        <v>453076</v>
      </c>
      <c r="M92" s="221">
        <f t="shared" si="14"/>
        <v>0</v>
      </c>
      <c r="N92" s="221">
        <v>0</v>
      </c>
      <c r="O92" s="221">
        <v>0</v>
      </c>
      <c r="AA92" s="195"/>
      <c r="AB92" s="195"/>
      <c r="AC92" s="195"/>
      <c r="AD92" s="195"/>
      <c r="AF92" s="195">
        <f t="shared" si="15"/>
        <v>0</v>
      </c>
      <c r="AH92" s="184">
        <v>70</v>
      </c>
      <c r="AJ92" s="184">
        <v>0</v>
      </c>
    </row>
    <row r="93" spans="1:36" x14ac:dyDescent="0.25">
      <c r="C93" s="212"/>
      <c r="D93" s="213"/>
      <c r="E93" s="213"/>
      <c r="F93" s="214"/>
      <c r="G93" s="215"/>
      <c r="H93" s="216"/>
      <c r="I93" s="213"/>
      <c r="J93" s="217"/>
      <c r="K93" s="217"/>
      <c r="L93" s="213"/>
      <c r="M93" s="213"/>
      <c r="N93" s="213"/>
      <c r="O93" s="213"/>
      <c r="AA93" s="195"/>
      <c r="AB93" s="195"/>
      <c r="AC93" s="195"/>
      <c r="AD93" s="195"/>
      <c r="AH93" s="184">
        <v>71</v>
      </c>
    </row>
    <row r="94" spans="1:36" ht="13.8" thickBot="1" x14ac:dyDescent="0.3">
      <c r="B94" s="227" t="s">
        <v>238</v>
      </c>
      <c r="C94" s="228">
        <f t="shared" ref="C94:H94" si="17">SUM(C78:C93)</f>
        <v>32000000</v>
      </c>
      <c r="D94" s="228">
        <f t="shared" si="17"/>
        <v>0</v>
      </c>
      <c r="E94" s="228">
        <f t="shared" si="17"/>
        <v>0</v>
      </c>
      <c r="F94" s="228">
        <f t="shared" si="17"/>
        <v>11547597.57</v>
      </c>
      <c r="G94" s="228">
        <f t="shared" si="17"/>
        <v>20452402.429999996</v>
      </c>
      <c r="H94" s="228">
        <f t="shared" si="17"/>
        <v>4261197.2299999995</v>
      </c>
      <c r="I94" s="228">
        <f>SUM(I4:I93)</f>
        <v>0</v>
      </c>
      <c r="J94" s="228">
        <f t="shared" ref="J94:O94" si="18">SUM(J78:J93)</f>
        <v>0</v>
      </c>
      <c r="K94" s="228">
        <f t="shared" si="18"/>
        <v>0</v>
      </c>
      <c r="L94" s="228">
        <f t="shared" si="18"/>
        <v>16191205.200000001</v>
      </c>
      <c r="M94" s="228">
        <f t="shared" si="18"/>
        <v>938312.30999999982</v>
      </c>
      <c r="N94" s="228">
        <f t="shared" si="18"/>
        <v>1946073.1199999999</v>
      </c>
      <c r="O94" s="228">
        <f t="shared" si="18"/>
        <v>1376811.8</v>
      </c>
      <c r="U94" s="227" t="s">
        <v>218</v>
      </c>
      <c r="V94" s="192">
        <v>22</v>
      </c>
      <c r="AA94" s="228">
        <f>SUM(AA78:AA93)</f>
        <v>0</v>
      </c>
      <c r="AB94" s="228">
        <f>SUM(AB78:AB93)</f>
        <v>0</v>
      </c>
      <c r="AC94" s="228">
        <f>SUM(AC78:AC93)</f>
        <v>0</v>
      </c>
      <c r="AD94" s="228">
        <f>SUM(AD78:AD93)</f>
        <v>0</v>
      </c>
      <c r="AF94" s="195">
        <f>C94+D94+E94-F94-G94</f>
        <v>0</v>
      </c>
      <c r="AH94" s="184">
        <v>72</v>
      </c>
      <c r="AJ94" s="184">
        <v>1682504.21</v>
      </c>
    </row>
    <row r="95" spans="1:36" ht="13.8" thickTop="1" x14ac:dyDescent="0.25">
      <c r="C95" s="212"/>
      <c r="D95" s="213"/>
      <c r="E95" s="213"/>
      <c r="F95" s="214"/>
      <c r="G95" s="215"/>
      <c r="H95" s="216"/>
      <c r="I95" s="213"/>
      <c r="J95" s="217"/>
      <c r="K95" s="217"/>
      <c r="L95" s="213"/>
      <c r="M95" s="213"/>
      <c r="N95" s="213"/>
      <c r="O95" s="213"/>
      <c r="AA95" s="195"/>
      <c r="AB95" s="195"/>
      <c r="AC95" s="195"/>
      <c r="AD95" s="195"/>
      <c r="AH95" s="184">
        <v>73</v>
      </c>
    </row>
    <row r="96" spans="1:36" x14ac:dyDescent="0.25">
      <c r="A96" s="224" t="s">
        <v>239</v>
      </c>
      <c r="C96" s="212"/>
      <c r="D96" s="213"/>
      <c r="E96" s="213"/>
      <c r="F96" s="187"/>
      <c r="G96" s="222"/>
      <c r="H96" s="223"/>
      <c r="I96" s="222"/>
      <c r="J96" s="222"/>
      <c r="K96" s="222"/>
      <c r="L96" s="221"/>
      <c r="M96" s="221"/>
      <c r="N96" s="221"/>
      <c r="O96" s="221"/>
      <c r="T96" s="224" t="s">
        <v>198</v>
      </c>
      <c r="V96" s="192">
        <v>5</v>
      </c>
      <c r="AH96" s="184">
        <v>74</v>
      </c>
    </row>
    <row r="97" spans="2:36" x14ac:dyDescent="0.25">
      <c r="B97" s="184" t="s">
        <v>240</v>
      </c>
      <c r="C97" s="212">
        <v>5000000</v>
      </c>
      <c r="D97" s="213"/>
      <c r="E97" s="213"/>
      <c r="F97" s="221">
        <f>3442.39+202638.55+926670.4</f>
        <v>1132751.3400000001</v>
      </c>
      <c r="G97" s="222">
        <f>[1]UMES!F161</f>
        <v>3867248.6600000006</v>
      </c>
      <c r="H97" s="223">
        <f>[1]UMES!H161</f>
        <v>802730.79</v>
      </c>
      <c r="I97" s="221">
        <f>[1]UMES!I161</f>
        <v>0</v>
      </c>
      <c r="J97" s="226">
        <f>[1]UMES!J161</f>
        <v>0</v>
      </c>
      <c r="K97" s="226">
        <f>[1]UMES!K161</f>
        <v>0</v>
      </c>
      <c r="L97" s="221">
        <f>G97-H97-I97-J97-K97</f>
        <v>3064517.8700000006</v>
      </c>
      <c r="M97" s="221">
        <f>H97-N97-O97</f>
        <v>86264.790000000037</v>
      </c>
      <c r="N97" s="221">
        <v>716466</v>
      </c>
      <c r="O97" s="221">
        <v>0</v>
      </c>
      <c r="AF97" s="195">
        <f t="shared" ref="AF97:AF116" si="19">C97+D97+E97-F97-G97</f>
        <v>0</v>
      </c>
      <c r="AH97" s="184">
        <v>75</v>
      </c>
      <c r="AI97" s="184" t="s">
        <v>200</v>
      </c>
      <c r="AJ97" s="184">
        <v>0</v>
      </c>
    </row>
    <row r="98" spans="2:36" x14ac:dyDescent="0.25">
      <c r="B98" s="184" t="s">
        <v>236</v>
      </c>
      <c r="C98" s="212">
        <v>1008000</v>
      </c>
      <c r="D98" s="213"/>
      <c r="E98" s="213"/>
      <c r="F98" s="221">
        <f>51347.72+344271.58+612380.7</f>
        <v>1008000</v>
      </c>
      <c r="G98" s="222">
        <f>[1]UMES!F151</f>
        <v>0</v>
      </c>
      <c r="H98" s="223">
        <f>[1]UMES!H151</f>
        <v>0</v>
      </c>
      <c r="I98" s="221">
        <f>[1]UMES!I151</f>
        <v>0</v>
      </c>
      <c r="J98" s="226">
        <f>[1]UMES!J151</f>
        <v>0</v>
      </c>
      <c r="K98" s="226">
        <f>[1]UMES!K151</f>
        <v>0</v>
      </c>
      <c r="L98" s="221">
        <f t="shared" ref="L98:L116" si="20">G98-H98-I98-J98-K98</f>
        <v>0</v>
      </c>
      <c r="M98" s="221">
        <f>H98-N98-O98</f>
        <v>0</v>
      </c>
      <c r="N98" s="221">
        <v>0</v>
      </c>
      <c r="O98" s="221">
        <v>0</v>
      </c>
      <c r="AF98" s="195">
        <f t="shared" si="19"/>
        <v>0</v>
      </c>
      <c r="AH98" s="184">
        <v>76</v>
      </c>
      <c r="AI98" s="184" t="s">
        <v>200</v>
      </c>
      <c r="AJ98" s="184">
        <v>0</v>
      </c>
    </row>
    <row r="99" spans="2:36" x14ac:dyDescent="0.25">
      <c r="B99" s="184" t="s">
        <v>241</v>
      </c>
      <c r="C99" s="212">
        <v>2346000</v>
      </c>
      <c r="D99" s="213"/>
      <c r="E99" s="213"/>
      <c r="F99" s="221">
        <f>146449.9+2199550.1</f>
        <v>2346000</v>
      </c>
      <c r="G99" s="222">
        <f>[1]UMBC!F88</f>
        <v>0</v>
      </c>
      <c r="H99" s="223">
        <f>[1]UMBC!H88</f>
        <v>0</v>
      </c>
      <c r="I99" s="221">
        <f>[1]UMBC!I88</f>
        <v>0</v>
      </c>
      <c r="J99" s="226">
        <f>[1]UMBC!J88</f>
        <v>0</v>
      </c>
      <c r="K99" s="226">
        <f>[1]UMBC!K88</f>
        <v>0</v>
      </c>
      <c r="L99" s="221">
        <f t="shared" si="20"/>
        <v>0</v>
      </c>
      <c r="M99" s="221">
        <f>H99-N99-O99</f>
        <v>0</v>
      </c>
      <c r="N99" s="221">
        <v>0</v>
      </c>
      <c r="O99" s="221">
        <v>0</v>
      </c>
      <c r="AF99" s="195">
        <f t="shared" si="19"/>
        <v>0</v>
      </c>
      <c r="AH99" s="184">
        <v>77</v>
      </c>
      <c r="AI99" s="184" t="s">
        <v>200</v>
      </c>
      <c r="AJ99" s="184">
        <v>0</v>
      </c>
    </row>
    <row r="100" spans="2:36" x14ac:dyDescent="0.25">
      <c r="B100" s="184" t="s">
        <v>242</v>
      </c>
      <c r="C100" s="212">
        <v>5000000</v>
      </c>
      <c r="D100" s="213"/>
      <c r="E100" s="213"/>
      <c r="F100" s="221">
        <f>1180.17+2012908.63+2985911.2</f>
        <v>5000000</v>
      </c>
      <c r="G100" s="222">
        <f>'[1]USM &amp; COI'!G87</f>
        <v>0</v>
      </c>
      <c r="H100" s="223">
        <f>'[1]USM &amp; COI'!H87</f>
        <v>0</v>
      </c>
      <c r="I100" s="221">
        <f>'[1]USM &amp; COI'!I87</f>
        <v>0</v>
      </c>
      <c r="J100" s="226">
        <f>'[1]USM &amp; COI'!J87</f>
        <v>0</v>
      </c>
      <c r="K100" s="226">
        <f>'[1]USM &amp; COI'!K87</f>
        <v>0</v>
      </c>
      <c r="L100" s="221">
        <f t="shared" si="20"/>
        <v>0</v>
      </c>
      <c r="M100" s="221">
        <f>H100-N100-O100</f>
        <v>0</v>
      </c>
      <c r="N100" s="221">
        <v>0</v>
      </c>
      <c r="O100" s="221">
        <v>0</v>
      </c>
      <c r="AF100" s="195">
        <f t="shared" si="19"/>
        <v>0</v>
      </c>
      <c r="AH100" s="184">
        <v>78</v>
      </c>
      <c r="AI100" s="184" t="s">
        <v>200</v>
      </c>
      <c r="AJ100" s="184">
        <v>0</v>
      </c>
    </row>
    <row r="101" spans="2:36" x14ac:dyDescent="0.25">
      <c r="B101" s="184" t="s">
        <v>243</v>
      </c>
      <c r="C101" s="212">
        <v>2000000</v>
      </c>
      <c r="D101" s="213"/>
      <c r="E101" s="213"/>
      <c r="F101" s="221">
        <f>2000000</f>
        <v>2000000</v>
      </c>
      <c r="G101" s="222">
        <v>0</v>
      </c>
      <c r="H101" s="223">
        <v>0</v>
      </c>
      <c r="I101" s="221">
        <v>0</v>
      </c>
      <c r="J101" s="226">
        <v>0</v>
      </c>
      <c r="K101" s="226">
        <v>0</v>
      </c>
      <c r="L101" s="221">
        <f t="shared" si="20"/>
        <v>0</v>
      </c>
      <c r="M101" s="221">
        <f>H101-N101-O101</f>
        <v>0</v>
      </c>
      <c r="N101" s="221">
        <v>0</v>
      </c>
      <c r="O101" s="221">
        <v>0</v>
      </c>
      <c r="AF101" s="195">
        <f t="shared" si="19"/>
        <v>0</v>
      </c>
      <c r="AH101" s="184">
        <v>79</v>
      </c>
      <c r="AI101" s="184" t="s">
        <v>200</v>
      </c>
      <c r="AJ101" s="184">
        <v>0</v>
      </c>
    </row>
    <row r="102" spans="2:36" x14ac:dyDescent="0.25">
      <c r="B102" s="224" t="s">
        <v>201</v>
      </c>
      <c r="C102" s="212"/>
      <c r="D102" s="213"/>
      <c r="E102" s="213"/>
      <c r="F102" s="221"/>
      <c r="G102" s="222"/>
      <c r="H102" s="223"/>
      <c r="I102" s="221"/>
      <c r="J102" s="226"/>
      <c r="K102" s="226"/>
      <c r="L102" s="221"/>
      <c r="M102" s="221"/>
      <c r="N102" s="221"/>
      <c r="O102" s="221"/>
      <c r="AF102" s="195">
        <f t="shared" si="19"/>
        <v>0</v>
      </c>
      <c r="AH102" s="184">
        <v>80</v>
      </c>
    </row>
    <row r="103" spans="2:36" x14ac:dyDescent="0.25">
      <c r="B103" s="184" t="s">
        <v>202</v>
      </c>
      <c r="C103" s="212">
        <v>7300000</v>
      </c>
      <c r="D103" s="213"/>
      <c r="E103" s="213"/>
      <c r="F103" s="221">
        <f>194905.04+7105094.96</f>
        <v>7300000</v>
      </c>
      <c r="G103" s="222">
        <f>[1]UMCP!F126</f>
        <v>0</v>
      </c>
      <c r="H103" s="223">
        <f>[1]UMCP!H126</f>
        <v>0</v>
      </c>
      <c r="I103" s="221">
        <f>[1]UMCP!I126</f>
        <v>0</v>
      </c>
      <c r="J103" s="226">
        <f>[1]UMCP!J126</f>
        <v>0</v>
      </c>
      <c r="K103" s="226">
        <f>[1]UMCP!K126</f>
        <v>0</v>
      </c>
      <c r="L103" s="221">
        <f t="shared" si="20"/>
        <v>0</v>
      </c>
      <c r="M103" s="221">
        <f t="shared" ref="M103:M116" si="21">H103-N103-O103</f>
        <v>0</v>
      </c>
      <c r="N103" s="221">
        <v>0</v>
      </c>
      <c r="O103" s="221">
        <v>0</v>
      </c>
      <c r="AF103" s="195">
        <f t="shared" si="19"/>
        <v>0</v>
      </c>
      <c r="AH103" s="184">
        <v>81</v>
      </c>
      <c r="AJ103" s="184">
        <v>0</v>
      </c>
    </row>
    <row r="104" spans="2:36" x14ac:dyDescent="0.25">
      <c r="B104" s="184" t="s">
        <v>203</v>
      </c>
      <c r="C104" s="212">
        <v>2675000</v>
      </c>
      <c r="D104" s="213"/>
      <c r="E104" s="213"/>
      <c r="F104" s="221">
        <f>431549.85+72768.56+10256.2</f>
        <v>514574.61</v>
      </c>
      <c r="G104" s="222">
        <f>[1]UMB!F140</f>
        <v>2160425.39</v>
      </c>
      <c r="H104" s="223">
        <f>[1]UMB!H140</f>
        <v>1456842.43</v>
      </c>
      <c r="I104" s="221">
        <f>[1]UMB!I140</f>
        <v>0</v>
      </c>
      <c r="J104" s="226">
        <f>[1]UMB!J140</f>
        <v>0</v>
      </c>
      <c r="K104" s="226">
        <f>[1]UMB!K140</f>
        <v>0</v>
      </c>
      <c r="L104" s="221">
        <f t="shared" si="20"/>
        <v>703582.9600000002</v>
      </c>
      <c r="M104" s="221">
        <f t="shared" si="21"/>
        <v>337443.57999999973</v>
      </c>
      <c r="N104" s="221">
        <v>135937.27000000014</v>
      </c>
      <c r="O104" s="221">
        <v>983461.58</v>
      </c>
      <c r="AF104" s="195">
        <f t="shared" si="19"/>
        <v>0</v>
      </c>
      <c r="AH104" s="184">
        <v>82</v>
      </c>
      <c r="AJ104" s="184">
        <v>1105236.1400000001</v>
      </c>
    </row>
    <row r="105" spans="2:36" x14ac:dyDescent="0.25">
      <c r="B105" s="184" t="s">
        <v>204</v>
      </c>
      <c r="C105" s="212">
        <v>642000</v>
      </c>
      <c r="D105" s="213"/>
      <c r="E105" s="213"/>
      <c r="F105" s="221">
        <f>550000+89800</f>
        <v>639800</v>
      </c>
      <c r="G105" s="222">
        <f>[1]UMES!F78</f>
        <v>2200</v>
      </c>
      <c r="H105" s="223">
        <f>[1]UMES!H78</f>
        <v>0</v>
      </c>
      <c r="I105" s="221">
        <f>[1]UMES!I78</f>
        <v>0</v>
      </c>
      <c r="J105" s="226">
        <f>[1]UMES!J78</f>
        <v>0</v>
      </c>
      <c r="K105" s="226">
        <f>[1]UMES!K78</f>
        <v>0</v>
      </c>
      <c r="L105" s="221">
        <f t="shared" si="20"/>
        <v>2200</v>
      </c>
      <c r="M105" s="221">
        <f t="shared" si="21"/>
        <v>0</v>
      </c>
      <c r="N105" s="221">
        <v>0</v>
      </c>
      <c r="O105" s="221">
        <v>0</v>
      </c>
      <c r="AF105" s="195">
        <f t="shared" si="19"/>
        <v>0</v>
      </c>
      <c r="AH105" s="184">
        <v>83</v>
      </c>
      <c r="AJ105" s="184">
        <v>0</v>
      </c>
    </row>
    <row r="106" spans="2:36" x14ac:dyDescent="0.25">
      <c r="B106" s="184" t="s">
        <v>205</v>
      </c>
      <c r="C106" s="212">
        <v>1452000</v>
      </c>
      <c r="D106" s="213"/>
      <c r="E106" s="213"/>
      <c r="F106" s="221">
        <f>75864.25</f>
        <v>75864.25</v>
      </c>
      <c r="G106" s="222">
        <f>[1]UMBC!F57</f>
        <v>1376135.75</v>
      </c>
      <c r="H106" s="223">
        <f>[1]UMBC!H57</f>
        <v>134506.43000000002</v>
      </c>
      <c r="I106" s="221">
        <f>[1]UMBC!I57</f>
        <v>0</v>
      </c>
      <c r="J106" s="226">
        <f>[1]UMBC!J57</f>
        <v>0</v>
      </c>
      <c r="K106" s="226">
        <f>[1]UMBC!K57</f>
        <v>0</v>
      </c>
      <c r="L106" s="221">
        <f t="shared" si="20"/>
        <v>1241629.32</v>
      </c>
      <c r="M106" s="221">
        <f t="shared" si="21"/>
        <v>0</v>
      </c>
      <c r="N106" s="221">
        <v>79381.630000000019</v>
      </c>
      <c r="O106" s="221">
        <v>55124.800000000003</v>
      </c>
      <c r="AF106" s="195">
        <f t="shared" si="19"/>
        <v>0</v>
      </c>
      <c r="AH106" s="184">
        <v>84</v>
      </c>
      <c r="AJ106" s="184">
        <v>134506.43000000002</v>
      </c>
    </row>
    <row r="107" spans="2:36" x14ac:dyDescent="0.25">
      <c r="B107" s="184" t="s">
        <v>206</v>
      </c>
      <c r="C107" s="212">
        <v>317000</v>
      </c>
      <c r="D107" s="213"/>
      <c r="E107" s="213"/>
      <c r="F107" s="221">
        <f>317000</f>
        <v>317000</v>
      </c>
      <c r="G107" s="222">
        <v>0</v>
      </c>
      <c r="H107" s="223">
        <v>0</v>
      </c>
      <c r="I107" s="221">
        <v>0</v>
      </c>
      <c r="J107" s="226">
        <v>0</v>
      </c>
      <c r="K107" s="226">
        <v>0</v>
      </c>
      <c r="L107" s="221">
        <f t="shared" si="20"/>
        <v>0</v>
      </c>
      <c r="M107" s="221">
        <f t="shared" si="21"/>
        <v>0</v>
      </c>
      <c r="N107" s="221">
        <v>0</v>
      </c>
      <c r="O107" s="221">
        <v>0</v>
      </c>
      <c r="AF107" s="195">
        <f t="shared" si="19"/>
        <v>0</v>
      </c>
      <c r="AH107" s="184">
        <v>85</v>
      </c>
      <c r="AJ107" s="184">
        <v>0</v>
      </c>
    </row>
    <row r="108" spans="2:36" s="234" customFormat="1" x14ac:dyDescent="0.25">
      <c r="B108" s="234" t="s">
        <v>207</v>
      </c>
      <c r="C108" s="235">
        <v>554000</v>
      </c>
      <c r="D108" s="236"/>
      <c r="E108" s="236"/>
      <c r="F108" s="237">
        <f>385023.91+8523.63</f>
        <v>393547.54</v>
      </c>
      <c r="G108" s="238">
        <f>[1]BSU!F60</f>
        <v>160452.45999999996</v>
      </c>
      <c r="H108" s="238">
        <f>[1]BSU!H60</f>
        <v>160452.46</v>
      </c>
      <c r="I108" s="237">
        <f>[1]BSU!I60</f>
        <v>0</v>
      </c>
      <c r="J108" s="239">
        <f>[1]BSU!J60</f>
        <v>0</v>
      </c>
      <c r="K108" s="239">
        <f>[1]BSU!K60</f>
        <v>0</v>
      </c>
      <c r="L108" s="237">
        <f t="shared" si="20"/>
        <v>-2.9103830456733704E-11</v>
      </c>
      <c r="M108" s="237">
        <f t="shared" si="21"/>
        <v>0</v>
      </c>
      <c r="N108" s="237">
        <v>160452.46</v>
      </c>
      <c r="O108" s="237">
        <v>0</v>
      </c>
      <c r="P108" s="240"/>
      <c r="Q108" s="240"/>
      <c r="R108" s="240"/>
      <c r="V108" s="241"/>
      <c r="W108" s="242"/>
      <c r="AA108" s="243"/>
      <c r="AB108" s="243"/>
      <c r="AC108" s="243"/>
      <c r="AD108" s="243"/>
      <c r="AE108" s="244"/>
      <c r="AF108" s="244">
        <f t="shared" si="19"/>
        <v>0</v>
      </c>
      <c r="AH108" s="234">
        <v>86</v>
      </c>
      <c r="AJ108" s="234">
        <v>0</v>
      </c>
    </row>
    <row r="109" spans="2:36" x14ac:dyDescent="0.25">
      <c r="B109" s="184" t="s">
        <v>208</v>
      </c>
      <c r="C109" s="212">
        <v>309000</v>
      </c>
      <c r="D109" s="213"/>
      <c r="E109" s="213"/>
      <c r="F109" s="221">
        <f>309000</f>
        <v>309000</v>
      </c>
      <c r="G109" s="222">
        <f>[1]CSU!F56</f>
        <v>0</v>
      </c>
      <c r="H109" s="223">
        <f>[1]CSU!H56</f>
        <v>0</v>
      </c>
      <c r="I109" s="221">
        <f>[1]CSU!I56</f>
        <v>0</v>
      </c>
      <c r="J109" s="226">
        <f>[1]CSU!J56</f>
        <v>0</v>
      </c>
      <c r="K109" s="226">
        <f>[1]CSU!K56</f>
        <v>0</v>
      </c>
      <c r="L109" s="221">
        <f t="shared" si="20"/>
        <v>0</v>
      </c>
      <c r="M109" s="221">
        <f t="shared" si="21"/>
        <v>0</v>
      </c>
      <c r="N109" s="221">
        <v>0</v>
      </c>
      <c r="O109" s="221">
        <v>0</v>
      </c>
      <c r="AF109" s="195">
        <f t="shared" si="19"/>
        <v>0</v>
      </c>
      <c r="AH109" s="184">
        <v>87</v>
      </c>
      <c r="AJ109" s="184">
        <v>0</v>
      </c>
    </row>
    <row r="110" spans="2:36" x14ac:dyDescent="0.25">
      <c r="B110" s="184" t="s">
        <v>209</v>
      </c>
      <c r="C110" s="212">
        <v>645000</v>
      </c>
      <c r="D110" s="213"/>
      <c r="E110" s="213"/>
      <c r="F110" s="221">
        <f>36199.86+216461.22+179395.12</f>
        <v>432056.2</v>
      </c>
      <c r="G110" s="222">
        <f>[1]FSU!F91</f>
        <v>212943.80000000005</v>
      </c>
      <c r="H110" s="223">
        <f>[1]FSU!H91</f>
        <v>212943.8</v>
      </c>
      <c r="I110" s="221">
        <f>[1]FSU!I91</f>
        <v>0</v>
      </c>
      <c r="J110" s="226">
        <f>[1]FSU!J91</f>
        <v>0</v>
      </c>
      <c r="K110" s="226">
        <f>[1]FSU!K91</f>
        <v>0</v>
      </c>
      <c r="L110" s="221">
        <f t="shared" si="20"/>
        <v>5.8207660913467407E-11</v>
      </c>
      <c r="M110" s="221">
        <f t="shared" si="21"/>
        <v>0</v>
      </c>
      <c r="N110" s="221">
        <v>0</v>
      </c>
      <c r="O110" s="221">
        <v>212943.8</v>
      </c>
      <c r="AF110" s="195">
        <f t="shared" si="19"/>
        <v>0</v>
      </c>
      <c r="AH110" s="184">
        <v>88</v>
      </c>
      <c r="AJ110" s="184">
        <v>212943.8</v>
      </c>
    </row>
    <row r="111" spans="2:36" x14ac:dyDescent="0.25">
      <c r="B111" s="184" t="s">
        <v>226</v>
      </c>
      <c r="C111" s="212">
        <v>536000</v>
      </c>
      <c r="D111" s="213"/>
      <c r="E111" s="213"/>
      <c r="F111" s="221">
        <f>49413.17+486586.83</f>
        <v>536000</v>
      </c>
      <c r="G111" s="222">
        <f>[1]SU!F60</f>
        <v>0</v>
      </c>
      <c r="H111" s="223">
        <f>[1]SU!H60</f>
        <v>0</v>
      </c>
      <c r="I111" s="221">
        <f>[1]SU!I60</f>
        <v>0</v>
      </c>
      <c r="J111" s="226">
        <f>[1]SU!J60</f>
        <v>0</v>
      </c>
      <c r="K111" s="226">
        <f>[1]SU!K60</f>
        <v>0</v>
      </c>
      <c r="L111" s="221">
        <f t="shared" si="20"/>
        <v>0</v>
      </c>
      <c r="M111" s="221">
        <f t="shared" si="21"/>
        <v>0</v>
      </c>
      <c r="N111" s="221">
        <v>0</v>
      </c>
      <c r="O111" s="221">
        <v>0</v>
      </c>
      <c r="AF111" s="195">
        <f t="shared" si="19"/>
        <v>0</v>
      </c>
      <c r="AH111" s="184">
        <v>89</v>
      </c>
      <c r="AJ111" s="184">
        <v>0</v>
      </c>
    </row>
    <row r="112" spans="2:36" x14ac:dyDescent="0.25">
      <c r="B112" s="184" t="s">
        <v>211</v>
      </c>
      <c r="C112" s="212">
        <f>525000+575000+489000</f>
        <v>1589000</v>
      </c>
      <c r="D112" s="213"/>
      <c r="E112" s="213"/>
      <c r="F112" s="221">
        <f>360938.78+43732.93</f>
        <v>404671.71</v>
      </c>
      <c r="G112" s="222">
        <f>[1]TU!F87+[1]TU!F103+[1]TU!F112</f>
        <v>1184328.29</v>
      </c>
      <c r="H112" s="223">
        <f>[1]TU!H87+[1]TU!H103+[1]TU!H112</f>
        <v>760322.97</v>
      </c>
      <c r="I112" s="221">
        <f>[1]TU!I87+[1]TU!I103+[1]TU!I112</f>
        <v>0</v>
      </c>
      <c r="J112" s="226">
        <f>[1]TU!J87+[1]TU!J103+[1]TU!J112</f>
        <v>0</v>
      </c>
      <c r="K112" s="226">
        <f>[1]TU!K87+[1]TU!K103+[1]TU!K112</f>
        <v>0</v>
      </c>
      <c r="L112" s="221">
        <f t="shared" si="20"/>
        <v>424005.32000000007</v>
      </c>
      <c r="M112" s="221">
        <f t="shared" si="21"/>
        <v>114342.17999999993</v>
      </c>
      <c r="N112" s="221">
        <v>474747.43000000005</v>
      </c>
      <c r="O112" s="221">
        <v>171233.36</v>
      </c>
      <c r="AF112" s="195">
        <f t="shared" si="19"/>
        <v>0</v>
      </c>
      <c r="AH112" s="184">
        <v>90</v>
      </c>
      <c r="AJ112" s="184">
        <v>226231.86</v>
      </c>
    </row>
    <row r="113" spans="1:36" s="234" customFormat="1" x14ac:dyDescent="0.25">
      <c r="B113" s="234" t="s">
        <v>212</v>
      </c>
      <c r="C113" s="235">
        <v>418000</v>
      </c>
      <c r="D113" s="236"/>
      <c r="E113" s="236"/>
      <c r="F113" s="237">
        <f>157585.77+164124.54+19900+15132.35+4208.6</f>
        <v>360951.25999999995</v>
      </c>
      <c r="G113" s="238">
        <f>[1]UB!F76</f>
        <v>57048.739999999991</v>
      </c>
      <c r="H113" s="245">
        <f>[1]UB!H76</f>
        <v>37409.100000000006</v>
      </c>
      <c r="I113" s="237">
        <f>[1]UB!I76</f>
        <v>0</v>
      </c>
      <c r="J113" s="239">
        <f>[1]UB!J76</f>
        <v>0</v>
      </c>
      <c r="K113" s="239">
        <f>[1]UB!K76</f>
        <v>0</v>
      </c>
      <c r="L113" s="237">
        <f t="shared" si="20"/>
        <v>19639.639999999985</v>
      </c>
      <c r="M113" s="237">
        <f t="shared" si="21"/>
        <v>0</v>
      </c>
      <c r="N113" s="237">
        <v>10436.270000000004</v>
      </c>
      <c r="O113" s="237">
        <v>26972.83</v>
      </c>
      <c r="P113" s="240"/>
      <c r="Q113" s="240"/>
      <c r="R113" s="240"/>
      <c r="V113" s="241"/>
      <c r="W113" s="242"/>
      <c r="AA113" s="243"/>
      <c r="AB113" s="243"/>
      <c r="AC113" s="243"/>
      <c r="AD113" s="243"/>
      <c r="AE113" s="244"/>
      <c r="AF113" s="244">
        <f t="shared" si="19"/>
        <v>5.8207660913467407E-11</v>
      </c>
      <c r="AH113" s="234">
        <v>91</v>
      </c>
      <c r="AJ113" s="234">
        <v>28566.100000000002</v>
      </c>
    </row>
    <row r="114" spans="1:36" x14ac:dyDescent="0.25">
      <c r="B114" s="224" t="s">
        <v>216</v>
      </c>
      <c r="C114" s="212">
        <v>2209000</v>
      </c>
      <c r="D114" s="184"/>
      <c r="E114" s="221">
        <f>955.58+30+236864.83+43817.68+38000+113000+563000+287627.14-24627.14-1400000-1520000</f>
        <v>-1661331.91</v>
      </c>
      <c r="F114" s="221"/>
      <c r="G114" s="222">
        <f>'[1]Emergency Funds'!G37</f>
        <v>547668.09000000032</v>
      </c>
      <c r="H114" s="223"/>
      <c r="I114" s="221"/>
      <c r="J114" s="226"/>
      <c r="K114" s="226"/>
      <c r="L114" s="221">
        <f t="shared" si="20"/>
        <v>547668.09000000032</v>
      </c>
      <c r="M114" s="221">
        <f t="shared" si="21"/>
        <v>0</v>
      </c>
      <c r="N114" s="221"/>
      <c r="O114" s="221"/>
      <c r="AF114" s="195">
        <f t="shared" si="19"/>
        <v>0</v>
      </c>
      <c r="AH114" s="184">
        <v>92</v>
      </c>
    </row>
    <row r="115" spans="1:36" x14ac:dyDescent="0.25">
      <c r="B115" s="184" t="s">
        <v>244</v>
      </c>
      <c r="C115" s="212"/>
      <c r="D115" s="184"/>
      <c r="E115" s="221">
        <v>1400000</v>
      </c>
      <c r="F115" s="221">
        <f>301683.5+1098316.5</f>
        <v>1400000</v>
      </c>
      <c r="G115" s="222">
        <f>[1]UMES!F31</f>
        <v>0</v>
      </c>
      <c r="H115" s="223">
        <f>[1]UMES!H31</f>
        <v>0</v>
      </c>
      <c r="I115" s="221"/>
      <c r="J115" s="226"/>
      <c r="K115" s="226"/>
      <c r="L115" s="221">
        <f t="shared" si="20"/>
        <v>0</v>
      </c>
      <c r="M115" s="221">
        <f t="shared" si="21"/>
        <v>0</v>
      </c>
      <c r="N115" s="221">
        <v>0</v>
      </c>
      <c r="O115" s="221">
        <v>0</v>
      </c>
      <c r="AF115" s="195">
        <f t="shared" si="19"/>
        <v>0</v>
      </c>
      <c r="AH115" s="184">
        <v>93</v>
      </c>
      <c r="AJ115" s="184">
        <v>0</v>
      </c>
    </row>
    <row r="116" spans="1:36" x14ac:dyDescent="0.25">
      <c r="B116" s="184" t="s">
        <v>245</v>
      </c>
      <c r="C116" s="212"/>
      <c r="D116" s="184"/>
      <c r="E116" s="221">
        <v>1520000</v>
      </c>
      <c r="F116" s="221">
        <f>145740.07</f>
        <v>145740.07</v>
      </c>
      <c r="G116" s="222">
        <f>'[1]USM &amp; COI'!G45</f>
        <v>1374259.93</v>
      </c>
      <c r="H116" s="223">
        <f>'[1]USM &amp; COI'!H45</f>
        <v>1374259.93</v>
      </c>
      <c r="I116" s="221"/>
      <c r="J116" s="226"/>
      <c r="K116" s="226">
        <f>'[1]USM &amp; COI'!K45</f>
        <v>0</v>
      </c>
      <c r="L116" s="221">
        <f t="shared" si="20"/>
        <v>0</v>
      </c>
      <c r="M116" s="221">
        <f t="shared" si="21"/>
        <v>0</v>
      </c>
      <c r="N116" s="221">
        <v>744416.44</v>
      </c>
      <c r="O116" s="221">
        <v>629843.49</v>
      </c>
      <c r="AF116" s="195">
        <f t="shared" si="19"/>
        <v>0</v>
      </c>
      <c r="AH116" s="184">
        <v>94</v>
      </c>
      <c r="AJ116" s="184">
        <v>1374259.93</v>
      </c>
    </row>
    <row r="117" spans="1:36" x14ac:dyDescent="0.25">
      <c r="B117" s="224"/>
      <c r="C117" s="212"/>
      <c r="D117" s="213"/>
      <c r="E117" s="213"/>
      <c r="F117" s="221"/>
      <c r="G117" s="222"/>
      <c r="H117" s="223"/>
      <c r="I117" s="221"/>
      <c r="J117" s="226"/>
      <c r="K117" s="226"/>
      <c r="L117" s="221"/>
      <c r="M117" s="221"/>
      <c r="N117" s="221"/>
      <c r="O117" s="221"/>
      <c r="AH117" s="184">
        <v>95</v>
      </c>
    </row>
    <row r="118" spans="1:36" ht="13.8" thickBot="1" x14ac:dyDescent="0.3">
      <c r="B118" s="227" t="s">
        <v>246</v>
      </c>
      <c r="C118" s="228">
        <f>SUM(C97:C117)</f>
        <v>34000000</v>
      </c>
      <c r="D118" s="228">
        <f t="shared" ref="D118:O118" si="22">SUM(D97:D117)</f>
        <v>0</v>
      </c>
      <c r="E118" s="228">
        <f t="shared" si="22"/>
        <v>1258668.0900000001</v>
      </c>
      <c r="F118" s="228">
        <f>SUM(F97:F117)</f>
        <v>24315956.98</v>
      </c>
      <c r="G118" s="228">
        <f t="shared" si="22"/>
        <v>10942711.110000001</v>
      </c>
      <c r="H118" s="228">
        <f>SUM(H97:H117)</f>
        <v>4939467.91</v>
      </c>
      <c r="I118" s="228">
        <f t="shared" si="22"/>
        <v>0</v>
      </c>
      <c r="J118" s="228">
        <f t="shared" si="22"/>
        <v>0</v>
      </c>
      <c r="K118" s="228">
        <f t="shared" si="22"/>
        <v>0</v>
      </c>
      <c r="L118" s="228">
        <f t="shared" si="22"/>
        <v>6003243.2000000011</v>
      </c>
      <c r="M118" s="228">
        <f t="shared" si="22"/>
        <v>538050.5499999997</v>
      </c>
      <c r="N118" s="228">
        <f t="shared" si="22"/>
        <v>2321837.5</v>
      </c>
      <c r="O118" s="228">
        <f t="shared" si="22"/>
        <v>2079579.86</v>
      </c>
      <c r="U118" s="227" t="s">
        <v>218</v>
      </c>
      <c r="V118" s="192">
        <v>22</v>
      </c>
      <c r="AA118" s="228">
        <f>SUM(AA100:AA117)</f>
        <v>0</v>
      </c>
      <c r="AB118" s="228">
        <f>SUM(AB100:AB117)</f>
        <v>0</v>
      </c>
      <c r="AC118" s="228">
        <f>SUM(AC100:AC117)</f>
        <v>0</v>
      </c>
      <c r="AD118" s="228">
        <f>SUM(AD100:AD117)</f>
        <v>0</v>
      </c>
      <c r="AF118" s="195">
        <f>C118+D118+E118-F118-G118</f>
        <v>0</v>
      </c>
      <c r="AH118" s="184">
        <v>96</v>
      </c>
      <c r="AJ118" s="184">
        <v>3081744.26</v>
      </c>
    </row>
    <row r="119" spans="1:36" ht="13.8" thickTop="1" x14ac:dyDescent="0.25">
      <c r="B119" s="224"/>
      <c r="C119" s="212"/>
      <c r="D119" s="213"/>
      <c r="E119" s="213"/>
      <c r="F119" s="221"/>
      <c r="G119" s="222"/>
      <c r="H119" s="223"/>
      <c r="I119" s="221"/>
      <c r="J119" s="226"/>
      <c r="K119" s="226"/>
      <c r="L119" s="221"/>
      <c r="M119" s="221"/>
      <c r="N119" s="221"/>
      <c r="O119" s="221"/>
      <c r="AH119" s="184">
        <v>97</v>
      </c>
    </row>
    <row r="120" spans="1:36" x14ac:dyDescent="0.25">
      <c r="A120" s="224" t="s">
        <v>247</v>
      </c>
      <c r="C120" s="212"/>
      <c r="D120" s="213"/>
      <c r="E120" s="213"/>
      <c r="F120" s="246"/>
      <c r="G120" s="222"/>
      <c r="H120" s="223"/>
      <c r="I120" s="222"/>
      <c r="J120" s="222"/>
      <c r="K120" s="222"/>
      <c r="L120" s="221"/>
      <c r="M120" s="221"/>
      <c r="N120" s="221"/>
      <c r="O120" s="221"/>
      <c r="T120" s="224" t="s">
        <v>198</v>
      </c>
      <c r="V120" s="192">
        <v>5</v>
      </c>
      <c r="AH120" s="184">
        <v>98</v>
      </c>
    </row>
    <row r="121" spans="1:36" x14ac:dyDescent="0.25">
      <c r="B121" s="184" t="s">
        <v>248</v>
      </c>
      <c r="C121" s="212">
        <v>5000000</v>
      </c>
      <c r="D121" s="213"/>
      <c r="E121" s="213"/>
      <c r="F121" s="247">
        <f>1519594.09+758267.97+1278318.07</f>
        <v>3556180.13</v>
      </c>
      <c r="G121" s="222">
        <f>[1]UMBC!F82</f>
        <v>1443819.8700000003</v>
      </c>
      <c r="H121" s="223">
        <f>[1]UMBC!H82</f>
        <v>2814.5699999999997</v>
      </c>
      <c r="I121" s="221">
        <f>[1]UMBC!I82</f>
        <v>0</v>
      </c>
      <c r="J121" s="226">
        <f>[1]UMBC!J82</f>
        <v>0</v>
      </c>
      <c r="K121" s="226">
        <f>[1]UMBC!K82</f>
        <v>0</v>
      </c>
      <c r="L121" s="221">
        <f>G121-H121-I121-J121-K121</f>
        <v>1441005.3000000003</v>
      </c>
      <c r="M121" s="221">
        <f t="shared" ref="M121:M139" si="23">H121-N121-O121</f>
        <v>0</v>
      </c>
      <c r="N121" s="221">
        <v>2814.5699999999997</v>
      </c>
      <c r="O121" s="221">
        <v>0</v>
      </c>
      <c r="P121" s="218">
        <v>51</v>
      </c>
      <c r="Q121" s="218">
        <v>39</v>
      </c>
      <c r="R121" s="218" t="s">
        <v>249</v>
      </c>
      <c r="AF121" s="195">
        <f t="shared" ref="AF121:AF139" si="24">C121+D121+E121-F121-G121</f>
        <v>0</v>
      </c>
      <c r="AH121" s="184">
        <v>99</v>
      </c>
      <c r="AI121" s="184" t="s">
        <v>200</v>
      </c>
      <c r="AJ121" s="184">
        <v>0</v>
      </c>
    </row>
    <row r="122" spans="1:36" x14ac:dyDescent="0.25">
      <c r="B122" s="184" t="s">
        <v>243</v>
      </c>
      <c r="C122" s="212">
        <v>2000000</v>
      </c>
      <c r="D122" s="213"/>
      <c r="E122" s="213"/>
      <c r="F122" s="222">
        <f>2000000</f>
        <v>2000000</v>
      </c>
      <c r="G122" s="222">
        <v>0</v>
      </c>
      <c r="H122" s="223">
        <v>0</v>
      </c>
      <c r="I122" s="221">
        <v>0</v>
      </c>
      <c r="J122" s="226">
        <v>0</v>
      </c>
      <c r="K122" s="226">
        <v>0</v>
      </c>
      <c r="L122" s="221">
        <f>G122-H122-I122-J122-K122</f>
        <v>0</v>
      </c>
      <c r="M122" s="221">
        <f t="shared" si="23"/>
        <v>0</v>
      </c>
      <c r="N122" s="221">
        <v>0</v>
      </c>
      <c r="O122" s="221">
        <v>0</v>
      </c>
      <c r="P122" s="218">
        <v>52</v>
      </c>
      <c r="Q122" s="218">
        <v>39</v>
      </c>
      <c r="R122" s="218" t="s">
        <v>249</v>
      </c>
      <c r="AF122" s="195">
        <f t="shared" si="24"/>
        <v>0</v>
      </c>
      <c r="AH122" s="184">
        <v>100</v>
      </c>
      <c r="AJ122" s="184">
        <v>0</v>
      </c>
    </row>
    <row r="123" spans="1:36" x14ac:dyDescent="0.25">
      <c r="B123" s="224" t="s">
        <v>201</v>
      </c>
      <c r="C123" s="212"/>
      <c r="D123" s="213"/>
      <c r="E123" s="213"/>
      <c r="F123" s="222"/>
      <c r="G123" s="222"/>
      <c r="H123" s="223"/>
      <c r="I123" s="221"/>
      <c r="J123" s="226"/>
      <c r="K123" s="226"/>
      <c r="L123" s="221"/>
      <c r="M123" s="221"/>
      <c r="N123" s="221"/>
      <c r="O123" s="221"/>
      <c r="AF123" s="195">
        <f t="shared" si="24"/>
        <v>0</v>
      </c>
      <c r="AH123" s="184">
        <v>101</v>
      </c>
    </row>
    <row r="124" spans="1:36" x14ac:dyDescent="0.25">
      <c r="B124" s="184" t="s">
        <v>202</v>
      </c>
      <c r="C124" s="212">
        <v>7300000</v>
      </c>
      <c r="D124" s="213"/>
      <c r="E124" s="213"/>
      <c r="F124" s="222">
        <f>7300000</f>
        <v>7300000</v>
      </c>
      <c r="G124" s="222">
        <v>0</v>
      </c>
      <c r="H124" s="223">
        <v>0</v>
      </c>
      <c r="I124" s="221">
        <v>0</v>
      </c>
      <c r="J124" s="226">
        <v>0</v>
      </c>
      <c r="K124" s="226">
        <v>0</v>
      </c>
      <c r="L124" s="221">
        <f>G124-H124-I124-J124-K124</f>
        <v>0</v>
      </c>
      <c r="M124" s="221">
        <f t="shared" si="23"/>
        <v>0</v>
      </c>
      <c r="N124" s="221">
        <v>0</v>
      </c>
      <c r="O124" s="221">
        <v>0</v>
      </c>
      <c r="P124" s="218" t="s">
        <v>250</v>
      </c>
      <c r="Q124" s="218">
        <v>39</v>
      </c>
      <c r="R124" s="218" t="s">
        <v>249</v>
      </c>
      <c r="AF124" s="195">
        <f t="shared" si="24"/>
        <v>0</v>
      </c>
      <c r="AH124" s="184">
        <v>102</v>
      </c>
      <c r="AJ124" s="184">
        <v>0</v>
      </c>
    </row>
    <row r="125" spans="1:36" x14ac:dyDescent="0.25">
      <c r="B125" s="184" t="s">
        <v>203</v>
      </c>
      <c r="C125" s="212">
        <v>2675000</v>
      </c>
      <c r="D125" s="213"/>
      <c r="E125" s="213"/>
      <c r="F125" s="221">
        <f>13390+405590.39+429133.23</f>
        <v>848113.62</v>
      </c>
      <c r="G125" s="222">
        <f>[1]UMB!F160</f>
        <v>1826886.38</v>
      </c>
      <c r="H125" s="223">
        <f>[1]UMB!H160</f>
        <v>1014428.9500000001</v>
      </c>
      <c r="I125" s="221">
        <f>[1]UMB!I160</f>
        <v>0</v>
      </c>
      <c r="J125" s="226">
        <f>[1]UMB!J160</f>
        <v>0</v>
      </c>
      <c r="K125" s="226">
        <f>[1]UMB!K160</f>
        <v>0</v>
      </c>
      <c r="L125" s="221">
        <f t="shared" ref="L125:L139" si="25">G125-H125-I125-J125-K125</f>
        <v>812457.42999999982</v>
      </c>
      <c r="M125" s="221">
        <f t="shared" si="23"/>
        <v>8077.4599999999627</v>
      </c>
      <c r="N125" s="221">
        <v>202099.75000000012</v>
      </c>
      <c r="O125" s="221">
        <v>804251.74</v>
      </c>
      <c r="P125" s="218" t="s">
        <v>250</v>
      </c>
      <c r="Q125" s="218">
        <v>39</v>
      </c>
      <c r="R125" s="218" t="s">
        <v>249</v>
      </c>
      <c r="AF125" s="195">
        <f t="shared" si="24"/>
        <v>0</v>
      </c>
      <c r="AH125" s="184">
        <v>103</v>
      </c>
      <c r="AJ125" s="184">
        <v>921582.1100000001</v>
      </c>
    </row>
    <row r="126" spans="1:36" x14ac:dyDescent="0.25">
      <c r="B126" s="184" t="s">
        <v>204</v>
      </c>
      <c r="C126" s="212">
        <v>642000</v>
      </c>
      <c r="D126" s="213"/>
      <c r="E126" s="213"/>
      <c r="F126" s="221">
        <v>832.28</v>
      </c>
      <c r="G126" s="222">
        <f>[1]UMES!F99</f>
        <v>641167.72</v>
      </c>
      <c r="H126" s="223">
        <f>[1]UMES!H99</f>
        <v>480467.08000000007</v>
      </c>
      <c r="I126" s="221">
        <f>[1]UMES!I99</f>
        <v>0</v>
      </c>
      <c r="J126" s="226">
        <f>[1]UMES!J99</f>
        <v>0</v>
      </c>
      <c r="K126" s="226">
        <f>[1]UMES!K99</f>
        <v>0</v>
      </c>
      <c r="L126" s="221">
        <f t="shared" si="25"/>
        <v>160700.6399999999</v>
      </c>
      <c r="M126" s="221">
        <f t="shared" si="23"/>
        <v>810.64999999996508</v>
      </c>
      <c r="N126" s="221">
        <v>479656.43000000011</v>
      </c>
      <c r="O126" s="221">
        <v>0</v>
      </c>
      <c r="P126" s="218" t="s">
        <v>250</v>
      </c>
      <c r="Q126" s="218">
        <v>39</v>
      </c>
      <c r="R126" s="218" t="s">
        <v>249</v>
      </c>
      <c r="AF126" s="195">
        <f t="shared" si="24"/>
        <v>0</v>
      </c>
      <c r="AH126" s="184">
        <v>104</v>
      </c>
      <c r="AJ126" s="184">
        <v>479483.93000000011</v>
      </c>
    </row>
    <row r="127" spans="1:36" x14ac:dyDescent="0.25">
      <c r="B127" s="184" t="s">
        <v>205</v>
      </c>
      <c r="C127" s="212">
        <v>1452000</v>
      </c>
      <c r="D127" s="213"/>
      <c r="E127" s="213"/>
      <c r="F127" s="221">
        <f>340834.58+54036.14+38394.56</f>
        <v>433265.28</v>
      </c>
      <c r="G127" s="222">
        <f>[1]UMBC!F73</f>
        <v>1018734.72</v>
      </c>
      <c r="H127" s="223">
        <f>[1]UMBC!H73</f>
        <v>155222.82999999999</v>
      </c>
      <c r="I127" s="221">
        <f>[1]UMBC!I73</f>
        <v>0</v>
      </c>
      <c r="J127" s="226">
        <f>[1]UMBC!J73</f>
        <v>0</v>
      </c>
      <c r="K127" s="226">
        <f>[1]UMBC!K73</f>
        <v>0</v>
      </c>
      <c r="L127" s="221">
        <f t="shared" si="25"/>
        <v>863511.89</v>
      </c>
      <c r="M127" s="221">
        <f t="shared" si="23"/>
        <v>0</v>
      </c>
      <c r="N127" s="221">
        <v>118919.48999999999</v>
      </c>
      <c r="O127" s="221">
        <v>36303.339999999997</v>
      </c>
      <c r="P127" s="218" t="s">
        <v>250</v>
      </c>
      <c r="Q127" s="218">
        <v>39</v>
      </c>
      <c r="R127" s="218" t="s">
        <v>249</v>
      </c>
      <c r="AF127" s="195">
        <f t="shared" si="24"/>
        <v>0</v>
      </c>
      <c r="AH127" s="184">
        <v>105</v>
      </c>
      <c r="AJ127" s="184">
        <v>158037.4</v>
      </c>
    </row>
    <row r="128" spans="1:36" x14ac:dyDescent="0.25">
      <c r="B128" s="184" t="s">
        <v>206</v>
      </c>
      <c r="C128" s="212">
        <v>317000</v>
      </c>
      <c r="D128" s="213"/>
      <c r="E128" s="213"/>
      <c r="F128" s="221">
        <v>317000</v>
      </c>
      <c r="G128" s="222">
        <v>0</v>
      </c>
      <c r="H128" s="223">
        <v>0</v>
      </c>
      <c r="I128" s="221">
        <v>0</v>
      </c>
      <c r="J128" s="226">
        <v>0</v>
      </c>
      <c r="K128" s="226">
        <v>0</v>
      </c>
      <c r="L128" s="221">
        <f t="shared" si="25"/>
        <v>0</v>
      </c>
      <c r="M128" s="221">
        <f t="shared" si="23"/>
        <v>0</v>
      </c>
      <c r="N128" s="221">
        <v>0</v>
      </c>
      <c r="O128" s="221">
        <v>0</v>
      </c>
      <c r="P128" s="218" t="s">
        <v>250</v>
      </c>
      <c r="Q128" s="218">
        <v>39</v>
      </c>
      <c r="R128" s="218" t="s">
        <v>249</v>
      </c>
      <c r="AF128" s="195">
        <f t="shared" si="24"/>
        <v>0</v>
      </c>
      <c r="AH128" s="184">
        <v>106</v>
      </c>
      <c r="AJ128" s="184">
        <v>0</v>
      </c>
    </row>
    <row r="129" spans="1:36" x14ac:dyDescent="0.25">
      <c r="B129" s="184" t="s">
        <v>207</v>
      </c>
      <c r="C129" s="212">
        <v>554000</v>
      </c>
      <c r="D129" s="213"/>
      <c r="E129" s="213"/>
      <c r="F129" s="221">
        <f>144688.18+409311.82</f>
        <v>554000</v>
      </c>
      <c r="G129" s="222">
        <v>0</v>
      </c>
      <c r="H129" s="223">
        <v>0</v>
      </c>
      <c r="I129" s="221">
        <v>0</v>
      </c>
      <c r="J129" s="226">
        <v>0</v>
      </c>
      <c r="K129" s="226">
        <v>0</v>
      </c>
      <c r="L129" s="221">
        <f t="shared" si="25"/>
        <v>0</v>
      </c>
      <c r="M129" s="221">
        <f t="shared" si="23"/>
        <v>0</v>
      </c>
      <c r="N129" s="221">
        <v>0</v>
      </c>
      <c r="O129" s="221">
        <v>0</v>
      </c>
      <c r="P129" s="218" t="s">
        <v>250</v>
      </c>
      <c r="Q129" s="218">
        <v>39</v>
      </c>
      <c r="R129" s="218" t="s">
        <v>249</v>
      </c>
      <c r="AF129" s="195">
        <f t="shared" si="24"/>
        <v>0</v>
      </c>
      <c r="AH129" s="184">
        <v>107</v>
      </c>
      <c r="AJ129" s="184">
        <v>0</v>
      </c>
    </row>
    <row r="130" spans="1:36" x14ac:dyDescent="0.25">
      <c r="B130" s="184" t="s">
        <v>208</v>
      </c>
      <c r="C130" s="212">
        <v>654000</v>
      </c>
      <c r="D130" s="213"/>
      <c r="E130" s="213"/>
      <c r="F130" s="221">
        <f>405006.46+248993.54</f>
        <v>654000</v>
      </c>
      <c r="G130" s="222">
        <f>[1]CSU!F66</f>
        <v>0</v>
      </c>
      <c r="H130" s="223">
        <f>[1]CSU!H66</f>
        <v>0</v>
      </c>
      <c r="I130" s="221">
        <f>[1]CSU!I66</f>
        <v>0</v>
      </c>
      <c r="J130" s="226">
        <f>[1]CSU!J66</f>
        <v>0</v>
      </c>
      <c r="K130" s="226">
        <f>[1]CSU!K66</f>
        <v>0</v>
      </c>
      <c r="L130" s="221">
        <f t="shared" si="25"/>
        <v>0</v>
      </c>
      <c r="M130" s="221">
        <f t="shared" si="23"/>
        <v>0</v>
      </c>
      <c r="N130" s="221">
        <v>0</v>
      </c>
      <c r="O130" s="221">
        <v>0</v>
      </c>
      <c r="P130" s="218" t="s">
        <v>250</v>
      </c>
      <c r="Q130" s="218">
        <v>39</v>
      </c>
      <c r="R130" s="218" t="s">
        <v>249</v>
      </c>
      <c r="AF130" s="195">
        <f t="shared" si="24"/>
        <v>0</v>
      </c>
      <c r="AH130" s="184">
        <v>108</v>
      </c>
      <c r="AJ130" s="184">
        <v>0</v>
      </c>
    </row>
    <row r="131" spans="1:36" x14ac:dyDescent="0.25">
      <c r="B131" s="184" t="s">
        <v>209</v>
      </c>
      <c r="C131" s="212">
        <v>400000</v>
      </c>
      <c r="D131" s="213"/>
      <c r="E131" s="213"/>
      <c r="F131" s="221">
        <f>96350+239419.19</f>
        <v>335769.19</v>
      </c>
      <c r="G131" s="222">
        <f>[1]FSU!F104</f>
        <v>64230.809999999969</v>
      </c>
      <c r="H131" s="223">
        <f>[1]FSU!H104</f>
        <v>64230.810000000005</v>
      </c>
      <c r="I131" s="221">
        <f>[1]FSU!I104</f>
        <v>0</v>
      </c>
      <c r="J131" s="226">
        <f>[1]FSU!J104</f>
        <v>0</v>
      </c>
      <c r="K131" s="226">
        <f>[1]FSU!K104</f>
        <v>0</v>
      </c>
      <c r="L131" s="221">
        <f t="shared" si="25"/>
        <v>-3.637978807091713E-11</v>
      </c>
      <c r="M131" s="221">
        <f t="shared" si="23"/>
        <v>0</v>
      </c>
      <c r="N131" s="221">
        <v>47239.340000000004</v>
      </c>
      <c r="O131" s="221">
        <v>16991.47</v>
      </c>
      <c r="P131" s="218" t="s">
        <v>250</v>
      </c>
      <c r="Q131" s="218">
        <v>39</v>
      </c>
      <c r="R131" s="218" t="s">
        <v>249</v>
      </c>
      <c r="AF131" s="195">
        <f t="shared" si="24"/>
        <v>0</v>
      </c>
      <c r="AH131" s="184">
        <v>109</v>
      </c>
      <c r="AJ131" s="184">
        <v>64230.810000000005</v>
      </c>
    </row>
    <row r="132" spans="1:36" x14ac:dyDescent="0.25">
      <c r="B132" s="184" t="s">
        <v>226</v>
      </c>
      <c r="C132" s="212">
        <v>536000</v>
      </c>
      <c r="D132" s="213"/>
      <c r="E132" s="213"/>
      <c r="F132" s="221">
        <f>742.5+328152.75</f>
        <v>328895.25</v>
      </c>
      <c r="G132" s="222">
        <f>[1]SU!F71</f>
        <v>207104.75</v>
      </c>
      <c r="H132" s="223">
        <f>[1]SU!H71</f>
        <v>206747.25</v>
      </c>
      <c r="I132" s="221">
        <f>[1]SU!I71</f>
        <v>0</v>
      </c>
      <c r="J132" s="226">
        <f>[1]SU!J71</f>
        <v>0</v>
      </c>
      <c r="K132" s="226">
        <f>[1]SU!K71</f>
        <v>0</v>
      </c>
      <c r="L132" s="221">
        <f t="shared" si="25"/>
        <v>357.5</v>
      </c>
      <c r="M132" s="221">
        <f t="shared" si="23"/>
        <v>0</v>
      </c>
      <c r="N132" s="221">
        <v>204528</v>
      </c>
      <c r="O132" s="221">
        <v>2219.25</v>
      </c>
      <c r="P132" s="218" t="s">
        <v>250</v>
      </c>
      <c r="Q132" s="218">
        <v>39</v>
      </c>
      <c r="R132" s="218" t="s">
        <v>249</v>
      </c>
      <c r="AF132" s="195">
        <f t="shared" si="24"/>
        <v>0</v>
      </c>
      <c r="AH132" s="184">
        <v>110</v>
      </c>
      <c r="AJ132" s="184">
        <v>206747.25</v>
      </c>
    </row>
    <row r="133" spans="1:36" x14ac:dyDescent="0.25">
      <c r="B133" s="184" t="s">
        <v>211</v>
      </c>
      <c r="C133" s="212">
        <v>1589000</v>
      </c>
      <c r="D133" s="213"/>
      <c r="E133" s="213"/>
      <c r="F133" s="221">
        <f>367011.51+207988.49+357268.33+489000</f>
        <v>1421268.33</v>
      </c>
      <c r="G133" s="222">
        <f>[1]TU!F121+[1]TU!F134+[1]TU!F142</f>
        <v>167731.66999999998</v>
      </c>
      <c r="H133" s="223">
        <f>[1]TU!H121+[1]TU!H134+[1]TU!H142</f>
        <v>167731.07</v>
      </c>
      <c r="I133" s="221">
        <f>[1]TU!I121+[1]TU!I134+[1]TU!I142</f>
        <v>0</v>
      </c>
      <c r="J133" s="226">
        <f>[1]TU!J121+[1]TU!J134+[1]TU!J142</f>
        <v>0</v>
      </c>
      <c r="K133" s="226">
        <f>[1]TU!K121+[1]TU!K134+[1]TU!K142</f>
        <v>0</v>
      </c>
      <c r="L133" s="221">
        <f t="shared" si="25"/>
        <v>0.59999999997671694</v>
      </c>
      <c r="M133" s="221">
        <f t="shared" si="23"/>
        <v>0</v>
      </c>
      <c r="N133" s="221">
        <v>122671.07</v>
      </c>
      <c r="O133" s="221">
        <v>45060</v>
      </c>
      <c r="P133" s="218" t="s">
        <v>250</v>
      </c>
      <c r="Q133" s="218">
        <v>39</v>
      </c>
      <c r="R133" s="218" t="s">
        <v>249</v>
      </c>
      <c r="AF133" s="195">
        <f t="shared" si="24"/>
        <v>0</v>
      </c>
      <c r="AH133" s="184">
        <v>111</v>
      </c>
      <c r="AJ133" s="184">
        <v>92480</v>
      </c>
    </row>
    <row r="134" spans="1:36" x14ac:dyDescent="0.25">
      <c r="B134" s="184" t="s">
        <v>212</v>
      </c>
      <c r="C134" s="212">
        <v>418000</v>
      </c>
      <c r="D134" s="213"/>
      <c r="E134" s="213"/>
      <c r="F134" s="221">
        <f>13371.5+295046.47+23808.8</f>
        <v>332226.76999999996</v>
      </c>
      <c r="G134" s="222">
        <f>[1]UB!F84</f>
        <v>85773.230000000025</v>
      </c>
      <c r="H134" s="223">
        <f>[1]UB!H84</f>
        <v>0</v>
      </c>
      <c r="I134" s="221">
        <f>[1]UB!I84</f>
        <v>0</v>
      </c>
      <c r="J134" s="226">
        <f>[1]UB!J84</f>
        <v>0</v>
      </c>
      <c r="K134" s="226">
        <f>[1]UB!K84</f>
        <v>0</v>
      </c>
      <c r="L134" s="221">
        <f t="shared" si="25"/>
        <v>85773.230000000025</v>
      </c>
      <c r="M134" s="221">
        <f t="shared" si="23"/>
        <v>0</v>
      </c>
      <c r="N134" s="221">
        <v>0</v>
      </c>
      <c r="O134" s="221">
        <v>0</v>
      </c>
      <c r="P134" s="218" t="s">
        <v>250</v>
      </c>
      <c r="Q134" s="218">
        <v>39</v>
      </c>
      <c r="R134" s="218" t="s">
        <v>249</v>
      </c>
      <c r="AF134" s="195">
        <f t="shared" si="24"/>
        <v>0</v>
      </c>
      <c r="AH134" s="184">
        <v>112</v>
      </c>
      <c r="AJ134" s="184">
        <v>0</v>
      </c>
    </row>
    <row r="135" spans="1:36" x14ac:dyDescent="0.25">
      <c r="B135" s="248" t="s">
        <v>216</v>
      </c>
      <c r="C135" s="212">
        <v>463000</v>
      </c>
      <c r="D135" s="194"/>
      <c r="E135" s="221">
        <f>8697.6+177641.14+50128.27+162025.87+2318.6+2348.4+847+80.78+16856.95+4079.92+81129.75+3352.47+311231.58-130000+5410.7+0.44+569.73+0.7-88000-200000-315000</f>
        <v>93719.899999999907</v>
      </c>
      <c r="F135" s="221"/>
      <c r="G135" s="222">
        <f>'[1]Emergency Funds'!G62</f>
        <v>556719.89999999991</v>
      </c>
      <c r="H135" s="223">
        <f>'[1]Emergency Funds'!H62</f>
        <v>0</v>
      </c>
      <c r="I135" s="221"/>
      <c r="J135" s="226"/>
      <c r="K135" s="226"/>
      <c r="L135" s="221">
        <f t="shared" si="25"/>
        <v>556719.89999999991</v>
      </c>
      <c r="M135" s="221">
        <f t="shared" si="23"/>
        <v>0</v>
      </c>
      <c r="N135" s="221">
        <v>0</v>
      </c>
      <c r="O135" s="221"/>
      <c r="P135" s="218" t="s">
        <v>250</v>
      </c>
      <c r="Q135" s="218">
        <v>39</v>
      </c>
      <c r="R135" s="218" t="s">
        <v>249</v>
      </c>
      <c r="AF135" s="195">
        <f t="shared" si="24"/>
        <v>0</v>
      </c>
      <c r="AH135" s="184">
        <v>113</v>
      </c>
    </row>
    <row r="136" spans="1:36" x14ac:dyDescent="0.25">
      <c r="B136" s="184" t="s">
        <v>251</v>
      </c>
      <c r="C136" s="212"/>
      <c r="D136" s="184"/>
      <c r="E136" s="221">
        <v>130000</v>
      </c>
      <c r="F136" s="221"/>
      <c r="G136" s="222">
        <f>[1]UMCP!F7</f>
        <v>130000</v>
      </c>
      <c r="H136" s="223">
        <f>[1]UMCP!H7</f>
        <v>0</v>
      </c>
      <c r="I136" s="221">
        <v>0</v>
      </c>
      <c r="J136" s="226">
        <f>[1]UMCP!J7</f>
        <v>0</v>
      </c>
      <c r="K136" s="226">
        <f>[1]UMCP!K7</f>
        <v>0</v>
      </c>
      <c r="L136" s="221">
        <f t="shared" si="25"/>
        <v>130000</v>
      </c>
      <c r="M136" s="221">
        <f t="shared" si="23"/>
        <v>0</v>
      </c>
      <c r="N136" s="221">
        <v>0</v>
      </c>
      <c r="O136" s="221">
        <v>0</v>
      </c>
      <c r="AF136" s="195">
        <f t="shared" si="24"/>
        <v>0</v>
      </c>
      <c r="AH136" s="184">
        <v>114</v>
      </c>
      <c r="AJ136" s="184">
        <v>0</v>
      </c>
    </row>
    <row r="137" spans="1:36" x14ac:dyDescent="0.25">
      <c r="B137" s="184" t="s">
        <v>252</v>
      </c>
      <c r="C137" s="212"/>
      <c r="D137" s="184"/>
      <c r="E137" s="221">
        <v>88000</v>
      </c>
      <c r="F137" s="221"/>
      <c r="G137" s="222">
        <f>'[1]USM &amp; COI'!G92</f>
        <v>88000</v>
      </c>
      <c r="H137" s="223">
        <f>'[1]USM &amp; COI'!H92</f>
        <v>0</v>
      </c>
      <c r="I137" s="221"/>
      <c r="J137" s="226"/>
      <c r="K137" s="226"/>
      <c r="L137" s="221">
        <f t="shared" si="25"/>
        <v>88000</v>
      </c>
      <c r="M137" s="221">
        <f t="shared" si="23"/>
        <v>0</v>
      </c>
      <c r="N137" s="221">
        <v>0</v>
      </c>
      <c r="O137" s="221">
        <v>0</v>
      </c>
      <c r="AF137" s="195">
        <f t="shared" si="24"/>
        <v>0</v>
      </c>
      <c r="AH137" s="184">
        <v>115</v>
      </c>
      <c r="AJ137" s="184">
        <v>0</v>
      </c>
    </row>
    <row r="138" spans="1:36" x14ac:dyDescent="0.25">
      <c r="B138" s="249" t="s">
        <v>253</v>
      </c>
      <c r="C138" s="212"/>
      <c r="D138" s="184"/>
      <c r="E138" s="221">
        <v>200000</v>
      </c>
      <c r="F138" s="221"/>
      <c r="G138" s="222">
        <f>[1]UMES!F24</f>
        <v>200000</v>
      </c>
      <c r="H138" s="223">
        <f>[1]UMES!H24</f>
        <v>0</v>
      </c>
      <c r="I138" s="221"/>
      <c r="J138" s="226"/>
      <c r="K138" s="226"/>
      <c r="L138" s="221">
        <f t="shared" si="25"/>
        <v>200000</v>
      </c>
      <c r="M138" s="221">
        <f t="shared" si="23"/>
        <v>0</v>
      </c>
      <c r="N138" s="221">
        <v>0</v>
      </c>
      <c r="O138" s="221">
        <v>0</v>
      </c>
      <c r="AF138" s="195">
        <f t="shared" si="24"/>
        <v>0</v>
      </c>
    </row>
    <row r="139" spans="1:36" x14ac:dyDescent="0.25">
      <c r="B139" s="249" t="s">
        <v>254</v>
      </c>
      <c r="C139" s="212"/>
      <c r="D139" s="184"/>
      <c r="E139" s="221">
        <v>315000</v>
      </c>
      <c r="F139" s="221"/>
      <c r="G139" s="222">
        <f>'[1]USM &amp; COI'!G49</f>
        <v>315000</v>
      </c>
      <c r="H139" s="223">
        <f>'[1]USM &amp; COI'!H49</f>
        <v>0</v>
      </c>
      <c r="I139" s="221"/>
      <c r="J139" s="226"/>
      <c r="K139" s="226"/>
      <c r="L139" s="221">
        <f t="shared" si="25"/>
        <v>315000</v>
      </c>
      <c r="M139" s="221">
        <f t="shared" si="23"/>
        <v>0</v>
      </c>
      <c r="N139" s="221">
        <v>0</v>
      </c>
      <c r="O139" s="221"/>
      <c r="AF139" s="195">
        <f t="shared" si="24"/>
        <v>0</v>
      </c>
    </row>
    <row r="140" spans="1:36" x14ac:dyDescent="0.25">
      <c r="C140" s="212"/>
      <c r="D140" s="213"/>
      <c r="E140" s="213"/>
      <c r="F140" s="221"/>
      <c r="G140" s="215"/>
      <c r="H140" s="216"/>
      <c r="I140" s="213"/>
      <c r="J140" s="217"/>
      <c r="K140" s="217"/>
      <c r="L140" s="213"/>
      <c r="M140" s="213"/>
      <c r="N140" s="213"/>
      <c r="O140" s="213"/>
      <c r="AH140" s="184">
        <v>116</v>
      </c>
    </row>
    <row r="141" spans="1:36" ht="13.8" thickBot="1" x14ac:dyDescent="0.3">
      <c r="B141" s="227" t="s">
        <v>255</v>
      </c>
      <c r="C141" s="228">
        <f t="shared" ref="C141:O141" si="26">SUM(C121:C140)</f>
        <v>24000000</v>
      </c>
      <c r="D141" s="228">
        <f t="shared" si="26"/>
        <v>0</v>
      </c>
      <c r="E141" s="228">
        <f t="shared" si="26"/>
        <v>826719.89999999991</v>
      </c>
      <c r="F141" s="228">
        <f t="shared" si="26"/>
        <v>18081550.849999998</v>
      </c>
      <c r="G141" s="228">
        <f t="shared" si="26"/>
        <v>6745169.0499999989</v>
      </c>
      <c r="H141" s="228">
        <f>SUM(H121:H140)</f>
        <v>2091642.5600000003</v>
      </c>
      <c r="I141" s="228">
        <f t="shared" si="26"/>
        <v>0</v>
      </c>
      <c r="J141" s="228">
        <f t="shared" si="26"/>
        <v>0</v>
      </c>
      <c r="K141" s="228">
        <f>SUM(K121:K140)</f>
        <v>0</v>
      </c>
      <c r="L141" s="228">
        <f t="shared" si="26"/>
        <v>4653526.49</v>
      </c>
      <c r="M141" s="228">
        <f t="shared" si="26"/>
        <v>8888.1099999999278</v>
      </c>
      <c r="N141" s="228">
        <f t="shared" si="26"/>
        <v>1177928.6500000001</v>
      </c>
      <c r="O141" s="228">
        <f t="shared" si="26"/>
        <v>904825.79999999993</v>
      </c>
      <c r="U141" s="227" t="s">
        <v>218</v>
      </c>
      <c r="V141" s="192">
        <v>22</v>
      </c>
      <c r="AA141" s="228">
        <f>SUM(AA121:AA140)</f>
        <v>0</v>
      </c>
      <c r="AB141" s="228">
        <f>SUM(AB121:AB140)</f>
        <v>0</v>
      </c>
      <c r="AC141" s="228">
        <f>SUM(AC121:AC140)</f>
        <v>0</v>
      </c>
      <c r="AD141" s="228">
        <f>SUM(AD121:AD140)</f>
        <v>0</v>
      </c>
      <c r="AF141" s="195">
        <f>C141+D141+E141-F141-G141</f>
        <v>0</v>
      </c>
      <c r="AH141" s="184">
        <v>117</v>
      </c>
      <c r="AJ141" s="184">
        <v>1922561.5000000002</v>
      </c>
    </row>
    <row r="142" spans="1:36" ht="13.8" thickTop="1" x14ac:dyDescent="0.25">
      <c r="B142" s="224"/>
      <c r="C142" s="212"/>
      <c r="D142" s="212"/>
      <c r="E142" s="212"/>
      <c r="F142" s="212"/>
      <c r="G142" s="212"/>
      <c r="H142" s="212"/>
      <c r="I142" s="212"/>
      <c r="J142" s="212"/>
      <c r="K142" s="212"/>
      <c r="L142" s="212"/>
      <c r="M142" s="212"/>
      <c r="N142" s="212"/>
      <c r="O142" s="212"/>
      <c r="U142" s="224"/>
      <c r="AA142" s="212"/>
      <c r="AB142" s="212"/>
      <c r="AC142" s="212"/>
      <c r="AD142" s="212"/>
      <c r="AH142" s="184">
        <v>118</v>
      </c>
    </row>
    <row r="143" spans="1:36" x14ac:dyDescent="0.25">
      <c r="A143" s="224" t="s">
        <v>256</v>
      </c>
      <c r="C143" s="212"/>
      <c r="D143" s="213"/>
      <c r="E143" s="213"/>
      <c r="F143" s="221"/>
      <c r="G143" s="222"/>
      <c r="H143" s="223"/>
      <c r="I143" s="222"/>
      <c r="J143" s="222"/>
      <c r="K143" s="222"/>
      <c r="L143" s="221"/>
      <c r="M143" s="221"/>
      <c r="N143" s="221"/>
      <c r="O143" s="221"/>
      <c r="T143" s="224" t="s">
        <v>198</v>
      </c>
      <c r="V143" s="192">
        <v>5</v>
      </c>
      <c r="AH143" s="184">
        <v>119</v>
      </c>
    </row>
    <row r="144" spans="1:36" hidden="1" x14ac:dyDescent="0.25">
      <c r="B144" s="184" t="s">
        <v>257</v>
      </c>
      <c r="C144" s="212">
        <v>5000000</v>
      </c>
      <c r="D144" s="213"/>
      <c r="E144" s="213"/>
      <c r="F144" s="222">
        <v>5000000</v>
      </c>
      <c r="G144" s="222">
        <v>0</v>
      </c>
      <c r="H144" s="223">
        <v>0</v>
      </c>
      <c r="I144" s="221">
        <v>0</v>
      </c>
      <c r="J144" s="226">
        <v>0</v>
      </c>
      <c r="K144" s="226">
        <v>0</v>
      </c>
      <c r="L144" s="221">
        <f>G144-H144-I144-J144-K144</f>
        <v>0</v>
      </c>
      <c r="M144" s="221"/>
      <c r="N144" s="221"/>
      <c r="O144" s="221">
        <f>H142+K142</f>
        <v>0</v>
      </c>
      <c r="P144" s="218">
        <v>51</v>
      </c>
      <c r="Q144" s="218">
        <v>39</v>
      </c>
      <c r="R144" s="218" t="s">
        <v>249</v>
      </c>
      <c r="AH144" s="184">
        <v>120</v>
      </c>
      <c r="AJ144" s="184">
        <v>0</v>
      </c>
    </row>
    <row r="145" spans="2:36" hidden="1" x14ac:dyDescent="0.25">
      <c r="B145" s="184" t="s">
        <v>258</v>
      </c>
      <c r="C145" s="212">
        <v>10000000</v>
      </c>
      <c r="D145" s="213"/>
      <c r="E145" s="213"/>
      <c r="F145" s="222">
        <f>317972.61+9676071.5+5955.89</f>
        <v>10000000</v>
      </c>
      <c r="G145" s="222">
        <v>0</v>
      </c>
      <c r="H145" s="223">
        <v>0</v>
      </c>
      <c r="I145" s="221">
        <v>0</v>
      </c>
      <c r="J145" s="226">
        <v>0</v>
      </c>
      <c r="K145" s="226">
        <v>0</v>
      </c>
      <c r="L145" s="221">
        <f>G145-H145-I145-J145-K145</f>
        <v>0</v>
      </c>
      <c r="M145" s="221"/>
      <c r="N145" s="221"/>
      <c r="O145" s="221">
        <f>H143+K143</f>
        <v>0</v>
      </c>
      <c r="P145" s="218">
        <v>52</v>
      </c>
      <c r="Q145" s="218">
        <v>39</v>
      </c>
      <c r="R145" s="218" t="s">
        <v>249</v>
      </c>
      <c r="AH145" s="184">
        <v>121</v>
      </c>
      <c r="AJ145" s="184">
        <v>0</v>
      </c>
    </row>
    <row r="146" spans="2:36" x14ac:dyDescent="0.25">
      <c r="B146" s="224" t="s">
        <v>201</v>
      </c>
      <c r="C146" s="212"/>
      <c r="D146" s="213"/>
      <c r="E146" s="213"/>
      <c r="F146" s="222"/>
      <c r="G146" s="222"/>
      <c r="H146" s="223"/>
      <c r="I146" s="221"/>
      <c r="J146" s="226"/>
      <c r="K146" s="226"/>
      <c r="L146" s="221"/>
      <c r="M146" s="221"/>
      <c r="N146" s="221"/>
      <c r="O146" s="221"/>
      <c r="AH146" s="184">
        <v>122</v>
      </c>
    </row>
    <row r="147" spans="2:36" hidden="1" x14ac:dyDescent="0.25">
      <c r="B147" s="184" t="s">
        <v>202</v>
      </c>
      <c r="C147" s="212">
        <v>7300000</v>
      </c>
      <c r="D147" s="213"/>
      <c r="E147" s="213"/>
      <c r="F147" s="222">
        <f>2171056.95+5128943.05</f>
        <v>7300000</v>
      </c>
      <c r="G147" s="222">
        <v>0</v>
      </c>
      <c r="H147" s="223">
        <v>0</v>
      </c>
      <c r="I147" s="221">
        <v>0</v>
      </c>
      <c r="J147" s="226">
        <v>0</v>
      </c>
      <c r="K147" s="226">
        <v>0</v>
      </c>
      <c r="L147" s="221">
        <f t="shared" ref="L147:L159" si="27">G147-H147-I147-J147-K147</f>
        <v>0</v>
      </c>
      <c r="M147" s="221"/>
      <c r="N147" s="221"/>
      <c r="O147" s="221">
        <f>H145+K145</f>
        <v>0</v>
      </c>
      <c r="P147" s="218" t="s">
        <v>250</v>
      </c>
      <c r="Q147" s="218">
        <v>39</v>
      </c>
      <c r="R147" s="218" t="s">
        <v>249</v>
      </c>
      <c r="AH147" s="184">
        <v>123</v>
      </c>
      <c r="AJ147" s="184">
        <v>0</v>
      </c>
    </row>
    <row r="148" spans="2:36" x14ac:dyDescent="0.25">
      <c r="B148" s="184" t="s">
        <v>203</v>
      </c>
      <c r="C148" s="212">
        <v>2675000</v>
      </c>
      <c r="D148" s="213"/>
      <c r="E148" s="213"/>
      <c r="F148" s="221">
        <f>36926.03+655774.19+47446</f>
        <v>740146.22</v>
      </c>
      <c r="G148" s="222">
        <f>[1]UMB!F182</f>
        <v>1934853.7800000003</v>
      </c>
      <c r="H148" s="223">
        <f>[1]UMB!H182</f>
        <v>945312.5199999999</v>
      </c>
      <c r="I148" s="221">
        <f>[1]UMB!I182</f>
        <v>0</v>
      </c>
      <c r="J148" s="226">
        <f>[1]UMB!J182</f>
        <v>0</v>
      </c>
      <c r="K148" s="226">
        <f>[1]UMB!K182</f>
        <v>0</v>
      </c>
      <c r="L148" s="221">
        <f t="shared" si="27"/>
        <v>989541.26000000036</v>
      </c>
      <c r="M148" s="221">
        <f t="shared" ref="M148:M159" si="28">H148-N148-O148</f>
        <v>0</v>
      </c>
      <c r="N148" s="221">
        <v>419725.30999999994</v>
      </c>
      <c r="O148" s="221">
        <v>525587.21</v>
      </c>
      <c r="P148" s="218" t="s">
        <v>250</v>
      </c>
      <c r="Q148" s="218">
        <v>39</v>
      </c>
      <c r="R148" s="218" t="s">
        <v>249</v>
      </c>
      <c r="AF148" s="195">
        <f t="shared" ref="AF148:AF159" si="29">C148+D148+E148-F148-G148</f>
        <v>0</v>
      </c>
      <c r="AH148" s="184">
        <v>124</v>
      </c>
      <c r="AJ148" s="184">
        <v>932858.97999999986</v>
      </c>
    </row>
    <row r="149" spans="2:36" x14ac:dyDescent="0.25">
      <c r="B149" s="184" t="s">
        <v>204</v>
      </c>
      <c r="C149" s="212">
        <v>642000</v>
      </c>
      <c r="D149" s="213"/>
      <c r="E149" s="213"/>
      <c r="F149" s="221">
        <f>71845.71+290497.77</f>
        <v>362343.48000000004</v>
      </c>
      <c r="G149" s="222">
        <f>[1]UMES!F109</f>
        <v>279656.52</v>
      </c>
      <c r="H149" s="223">
        <f>[1]UMES!H109</f>
        <v>1473.29</v>
      </c>
      <c r="I149" s="221">
        <f>[1]UMES!I109</f>
        <v>0</v>
      </c>
      <c r="J149" s="226">
        <f>[1]UMES!J109</f>
        <v>0</v>
      </c>
      <c r="K149" s="226">
        <f>[1]UMES!K109</f>
        <v>0</v>
      </c>
      <c r="L149" s="221">
        <f t="shared" si="27"/>
        <v>278183.23000000004</v>
      </c>
      <c r="M149" s="221">
        <f t="shared" si="28"/>
        <v>0</v>
      </c>
      <c r="N149" s="221">
        <v>0</v>
      </c>
      <c r="O149" s="221">
        <v>1473.29</v>
      </c>
      <c r="P149" s="218" t="s">
        <v>250</v>
      </c>
      <c r="Q149" s="218">
        <v>39</v>
      </c>
      <c r="R149" s="218" t="s">
        <v>249</v>
      </c>
      <c r="AF149" s="195">
        <f t="shared" si="29"/>
        <v>0</v>
      </c>
      <c r="AH149" s="184">
        <v>125</v>
      </c>
      <c r="AJ149" s="184">
        <v>1473.29</v>
      </c>
    </row>
    <row r="150" spans="2:36" hidden="1" x14ac:dyDescent="0.25">
      <c r="B150" s="184" t="s">
        <v>205</v>
      </c>
      <c r="C150" s="212">
        <v>1452000</v>
      </c>
      <c r="D150" s="213"/>
      <c r="E150" s="213"/>
      <c r="F150" s="221">
        <f>1452000</f>
        <v>1452000</v>
      </c>
      <c r="G150" s="222">
        <v>0</v>
      </c>
      <c r="H150" s="223">
        <v>0</v>
      </c>
      <c r="I150" s="221">
        <v>0</v>
      </c>
      <c r="J150" s="226">
        <v>0</v>
      </c>
      <c r="K150" s="226">
        <v>0</v>
      </c>
      <c r="L150" s="221">
        <f t="shared" si="27"/>
        <v>0</v>
      </c>
      <c r="M150" s="221">
        <f t="shared" si="28"/>
        <v>0</v>
      </c>
      <c r="N150" s="221">
        <v>0</v>
      </c>
      <c r="O150" s="221">
        <f>H150+I150+J150+K150</f>
        <v>0</v>
      </c>
      <c r="P150" s="218" t="s">
        <v>250</v>
      </c>
      <c r="Q150" s="218">
        <v>39</v>
      </c>
      <c r="R150" s="218" t="s">
        <v>249</v>
      </c>
      <c r="AF150" s="195">
        <f t="shared" si="29"/>
        <v>0</v>
      </c>
      <c r="AH150" s="184">
        <v>126</v>
      </c>
      <c r="AJ150" s="184">
        <v>0</v>
      </c>
    </row>
    <row r="151" spans="2:36" hidden="1" x14ac:dyDescent="0.25">
      <c r="B151" s="184" t="s">
        <v>206</v>
      </c>
      <c r="C151" s="212">
        <v>317000</v>
      </c>
      <c r="D151" s="213"/>
      <c r="E151" s="213"/>
      <c r="F151" s="221">
        <v>317000</v>
      </c>
      <c r="G151" s="222">
        <v>0</v>
      </c>
      <c r="H151" s="223">
        <v>0</v>
      </c>
      <c r="I151" s="221">
        <v>0</v>
      </c>
      <c r="J151" s="226">
        <v>0</v>
      </c>
      <c r="K151" s="226">
        <v>0</v>
      </c>
      <c r="L151" s="221">
        <f t="shared" si="27"/>
        <v>0</v>
      </c>
      <c r="M151" s="221">
        <f t="shared" si="28"/>
        <v>0</v>
      </c>
      <c r="N151" s="221">
        <v>0</v>
      </c>
      <c r="O151" s="221">
        <f>H151+I151+J151+K151</f>
        <v>0</v>
      </c>
      <c r="P151" s="218" t="s">
        <v>250</v>
      </c>
      <c r="Q151" s="218">
        <v>39</v>
      </c>
      <c r="R151" s="218" t="s">
        <v>249</v>
      </c>
      <c r="AF151" s="195">
        <f t="shared" si="29"/>
        <v>0</v>
      </c>
      <c r="AH151" s="184">
        <v>127</v>
      </c>
      <c r="AJ151" s="184">
        <v>0</v>
      </c>
    </row>
    <row r="152" spans="2:36" x14ac:dyDescent="0.25">
      <c r="B152" s="184" t="s">
        <v>207</v>
      </c>
      <c r="C152" s="212">
        <v>554000</v>
      </c>
      <c r="D152" s="213"/>
      <c r="E152" s="213"/>
      <c r="F152" s="221">
        <f>159826.61+42301.37</f>
        <v>202127.97999999998</v>
      </c>
      <c r="G152" s="222">
        <f>[1]BSU!F76</f>
        <v>351872.02</v>
      </c>
      <c r="H152" s="223">
        <f>[1]BSU!H76</f>
        <v>351872.02</v>
      </c>
      <c r="I152" s="221">
        <f>[1]BSU!I76</f>
        <v>0</v>
      </c>
      <c r="J152" s="226">
        <f>[1]BSU!J76</f>
        <v>0</v>
      </c>
      <c r="K152" s="226">
        <f>[1]BSU!K76</f>
        <v>0</v>
      </c>
      <c r="L152" s="221">
        <f t="shared" si="27"/>
        <v>0</v>
      </c>
      <c r="M152" s="221">
        <f t="shared" si="28"/>
        <v>0</v>
      </c>
      <c r="N152" s="221">
        <v>78023.910000000033</v>
      </c>
      <c r="O152" s="221">
        <v>273848.11</v>
      </c>
      <c r="P152" s="218" t="s">
        <v>250</v>
      </c>
      <c r="Q152" s="218">
        <v>39</v>
      </c>
      <c r="R152" s="218" t="s">
        <v>249</v>
      </c>
      <c r="AF152" s="195">
        <f t="shared" si="29"/>
        <v>0</v>
      </c>
      <c r="AH152" s="184">
        <v>128</v>
      </c>
      <c r="AJ152" s="184">
        <v>281354.11</v>
      </c>
    </row>
    <row r="153" spans="2:36" hidden="1" x14ac:dyDescent="0.25">
      <c r="B153" s="184" t="s">
        <v>208</v>
      </c>
      <c r="C153" s="212">
        <v>409000</v>
      </c>
      <c r="D153" s="213"/>
      <c r="E153" s="213"/>
      <c r="F153" s="221">
        <f>274238.46+134761.54</f>
        <v>409000</v>
      </c>
      <c r="G153" s="222">
        <v>0</v>
      </c>
      <c r="H153" s="223">
        <v>0</v>
      </c>
      <c r="I153" s="221">
        <v>0</v>
      </c>
      <c r="J153" s="226">
        <v>0</v>
      </c>
      <c r="K153" s="226">
        <v>0</v>
      </c>
      <c r="L153" s="221">
        <f t="shared" si="27"/>
        <v>0</v>
      </c>
      <c r="M153" s="221">
        <f t="shared" si="28"/>
        <v>0</v>
      </c>
      <c r="N153" s="221">
        <v>0</v>
      </c>
      <c r="O153" s="221">
        <f>H153+I153+J153+K153</f>
        <v>0</v>
      </c>
      <c r="P153" s="218" t="s">
        <v>250</v>
      </c>
      <c r="Q153" s="218">
        <v>39</v>
      </c>
      <c r="R153" s="218" t="s">
        <v>249</v>
      </c>
      <c r="AF153" s="195">
        <f t="shared" si="29"/>
        <v>0</v>
      </c>
      <c r="AH153" s="184">
        <v>129</v>
      </c>
      <c r="AJ153" s="184">
        <v>0</v>
      </c>
    </row>
    <row r="154" spans="2:36" x14ac:dyDescent="0.25">
      <c r="B154" s="184" t="s">
        <v>209</v>
      </c>
      <c r="C154" s="212">
        <v>645000</v>
      </c>
      <c r="D154" s="213"/>
      <c r="E154" s="213"/>
      <c r="F154" s="221">
        <f>611741.64</f>
        <v>611741.64</v>
      </c>
      <c r="G154" s="222">
        <f>[1]FSU!F118</f>
        <v>33258.359999999986</v>
      </c>
      <c r="H154" s="223">
        <f>[1]FSU!H118</f>
        <v>33258.36</v>
      </c>
      <c r="I154" s="221">
        <f>[1]FSU!I118</f>
        <v>0</v>
      </c>
      <c r="J154" s="226">
        <f>[1]FSU!J118</f>
        <v>0</v>
      </c>
      <c r="K154" s="226">
        <f>[1]FSU!K118</f>
        <v>0</v>
      </c>
      <c r="L154" s="221">
        <f t="shared" si="27"/>
        <v>-1.4551915228366852E-11</v>
      </c>
      <c r="M154" s="221">
        <f t="shared" si="28"/>
        <v>0</v>
      </c>
      <c r="N154" s="221">
        <v>0</v>
      </c>
      <c r="O154" s="221">
        <v>33258.36</v>
      </c>
      <c r="P154" s="218" t="s">
        <v>250</v>
      </c>
      <c r="Q154" s="218">
        <v>39</v>
      </c>
      <c r="R154" s="218" t="s">
        <v>249</v>
      </c>
      <c r="AF154" s="195">
        <f t="shared" si="29"/>
        <v>0</v>
      </c>
      <c r="AH154" s="184">
        <v>130</v>
      </c>
      <c r="AJ154" s="184">
        <v>33258.36</v>
      </c>
    </row>
    <row r="155" spans="2:36" hidden="1" x14ac:dyDescent="0.25">
      <c r="B155" s="184" t="s">
        <v>226</v>
      </c>
      <c r="C155" s="212">
        <v>536000</v>
      </c>
      <c r="D155" s="213"/>
      <c r="E155" s="213"/>
      <c r="F155" s="221">
        <f>536000</f>
        <v>536000</v>
      </c>
      <c r="G155" s="222">
        <v>0</v>
      </c>
      <c r="H155" s="223">
        <v>0</v>
      </c>
      <c r="I155" s="221">
        <v>0</v>
      </c>
      <c r="J155" s="226">
        <v>0</v>
      </c>
      <c r="K155" s="226">
        <v>0</v>
      </c>
      <c r="L155" s="221">
        <f t="shared" si="27"/>
        <v>0</v>
      </c>
      <c r="M155" s="221">
        <f t="shared" si="28"/>
        <v>0</v>
      </c>
      <c r="N155" s="221">
        <v>0</v>
      </c>
      <c r="O155" s="221">
        <f>H155+I155+J155+K155</f>
        <v>0</v>
      </c>
      <c r="P155" s="218" t="s">
        <v>250</v>
      </c>
      <c r="Q155" s="218">
        <v>39</v>
      </c>
      <c r="R155" s="218" t="s">
        <v>249</v>
      </c>
      <c r="AF155" s="195">
        <f t="shared" si="29"/>
        <v>0</v>
      </c>
      <c r="AH155" s="184">
        <v>131</v>
      </c>
      <c r="AJ155" s="184">
        <v>0</v>
      </c>
    </row>
    <row r="156" spans="2:36" x14ac:dyDescent="0.25">
      <c r="B156" s="184" t="s">
        <v>211</v>
      </c>
      <c r="C156" s="212">
        <v>1589000</v>
      </c>
      <c r="D156" s="213"/>
      <c r="E156" s="213"/>
      <c r="F156" s="221">
        <f>32706.17+518001.39+20198.17+550000+377628.95+53455.07+7915.98</f>
        <v>1559905.73</v>
      </c>
      <c r="G156" s="222">
        <f>[1]TU!F157+[1]TU!F163+[1]TU!F171</f>
        <v>29094.266999999938</v>
      </c>
      <c r="H156" s="223">
        <f>[1]TU!H157+[1]TU!H163+[1]TU!H171</f>
        <v>29094.27</v>
      </c>
      <c r="I156" s="221">
        <f>[1]TU!I157+[1]TU!I163+[1]TU!I171</f>
        <v>0</v>
      </c>
      <c r="J156" s="226">
        <f>[1]TU!J157+[1]TU!J163+[1]TU!J171</f>
        <v>0</v>
      </c>
      <c r="K156" s="226">
        <f>[1]TU!K157+[1]TU!K163+[1]TU!K171</f>
        <v>0</v>
      </c>
      <c r="L156" s="221">
        <f t="shared" si="27"/>
        <v>-3.0000000624568202E-3</v>
      </c>
      <c r="M156" s="221">
        <f t="shared" si="28"/>
        <v>0</v>
      </c>
      <c r="N156" s="221">
        <v>12726.4</v>
      </c>
      <c r="O156" s="221">
        <v>16367.87</v>
      </c>
      <c r="P156" s="218" t="s">
        <v>250</v>
      </c>
      <c r="Q156" s="218">
        <v>39</v>
      </c>
      <c r="R156" s="218" t="s">
        <v>249</v>
      </c>
      <c r="AF156" s="195">
        <f t="shared" si="29"/>
        <v>3.0000000806467142E-3</v>
      </c>
      <c r="AH156" s="184">
        <v>132</v>
      </c>
      <c r="AJ156" s="184">
        <v>29094.27</v>
      </c>
    </row>
    <row r="157" spans="2:36" x14ac:dyDescent="0.25">
      <c r="B157" s="184" t="s">
        <v>212</v>
      </c>
      <c r="C157" s="212">
        <v>418000</v>
      </c>
      <c r="D157" s="213"/>
      <c r="E157" s="213"/>
      <c r="F157" s="221">
        <f>2748.75+81771.25+15400</f>
        <v>99920</v>
      </c>
      <c r="G157" s="222">
        <f>[1]UB!F100</f>
        <v>318080</v>
      </c>
      <c r="H157" s="223">
        <f>[1]UB!H100</f>
        <v>179611.54</v>
      </c>
      <c r="I157" s="221">
        <f>[1]UB!I100</f>
        <v>0</v>
      </c>
      <c r="J157" s="226">
        <f>[1]UB!J100</f>
        <v>0</v>
      </c>
      <c r="K157" s="226">
        <f>[1]UB!K100</f>
        <v>0</v>
      </c>
      <c r="L157" s="221">
        <f t="shared" si="27"/>
        <v>138468.46</v>
      </c>
      <c r="M157" s="221">
        <f t="shared" si="28"/>
        <v>0</v>
      </c>
      <c r="N157" s="221">
        <v>143676</v>
      </c>
      <c r="O157" s="221">
        <v>35935.54</v>
      </c>
      <c r="P157" s="218" t="s">
        <v>250</v>
      </c>
      <c r="Q157" s="218">
        <v>39</v>
      </c>
      <c r="R157" s="218" t="s">
        <v>249</v>
      </c>
      <c r="AF157" s="195">
        <f t="shared" si="29"/>
        <v>0</v>
      </c>
      <c r="AH157" s="184">
        <v>133</v>
      </c>
      <c r="AJ157" s="184">
        <v>113811.54000000001</v>
      </c>
    </row>
    <row r="158" spans="2:36" x14ac:dyDescent="0.25">
      <c r="B158" s="224" t="s">
        <v>216</v>
      </c>
      <c r="C158" s="212">
        <v>463000</v>
      </c>
      <c r="D158" s="221"/>
      <c r="E158" s="221">
        <f>24627.14-200000-287627.14</f>
        <v>-463000</v>
      </c>
      <c r="F158" s="221"/>
      <c r="G158" s="222">
        <f>'[1]Emergency Funds'!G69</f>
        <v>0</v>
      </c>
      <c r="H158" s="223"/>
      <c r="I158" s="221"/>
      <c r="J158" s="226"/>
      <c r="K158" s="226"/>
      <c r="L158" s="221"/>
      <c r="M158" s="221">
        <f t="shared" si="28"/>
        <v>0</v>
      </c>
      <c r="N158" s="221"/>
      <c r="O158" s="221"/>
      <c r="P158" s="218" t="s">
        <v>250</v>
      </c>
      <c r="Q158" s="218">
        <v>39</v>
      </c>
      <c r="R158" s="218" t="s">
        <v>249</v>
      </c>
      <c r="AF158" s="195">
        <f t="shared" si="29"/>
        <v>0</v>
      </c>
      <c r="AH158" s="184">
        <v>134</v>
      </c>
    </row>
    <row r="159" spans="2:36" x14ac:dyDescent="0.25">
      <c r="B159" s="184" t="s">
        <v>259</v>
      </c>
      <c r="C159" s="212"/>
      <c r="D159" s="213"/>
      <c r="E159" s="221">
        <v>200000</v>
      </c>
      <c r="F159" s="221">
        <f>50289.6+58406.01</f>
        <v>108695.61</v>
      </c>
      <c r="G159" s="222">
        <f>[1]UMES!F19</f>
        <v>91304.389999999985</v>
      </c>
      <c r="H159" s="223">
        <f>[1]UMES!H19</f>
        <v>0</v>
      </c>
      <c r="I159" s="221">
        <f>[1]UMES!I109</f>
        <v>0</v>
      </c>
      <c r="J159" s="226">
        <f>[1]UMES!J19</f>
        <v>0</v>
      </c>
      <c r="K159" s="226">
        <f>[1]UMES!K19</f>
        <v>0</v>
      </c>
      <c r="L159" s="221">
        <f t="shared" si="27"/>
        <v>91304.389999999985</v>
      </c>
      <c r="M159" s="221">
        <f t="shared" si="28"/>
        <v>0</v>
      </c>
      <c r="N159" s="221">
        <v>0</v>
      </c>
      <c r="O159" s="221">
        <v>0</v>
      </c>
      <c r="AF159" s="195">
        <f t="shared" si="29"/>
        <v>0</v>
      </c>
      <c r="AH159" s="184">
        <v>135</v>
      </c>
      <c r="AJ159" s="184">
        <v>0</v>
      </c>
    </row>
    <row r="160" spans="2:36" x14ac:dyDescent="0.25">
      <c r="C160" s="212"/>
      <c r="D160" s="213"/>
      <c r="E160" s="213"/>
      <c r="F160" s="221"/>
      <c r="G160" s="215"/>
      <c r="H160" s="216"/>
      <c r="I160" s="213"/>
      <c r="J160" s="217"/>
      <c r="K160" s="217"/>
      <c r="L160" s="213"/>
      <c r="M160" s="213"/>
      <c r="N160" s="213"/>
      <c r="O160" s="213"/>
      <c r="AH160" s="184">
        <v>136</v>
      </c>
    </row>
    <row r="161" spans="1:36" ht="13.8" thickBot="1" x14ac:dyDescent="0.3">
      <c r="B161" s="227" t="s">
        <v>260</v>
      </c>
      <c r="C161" s="228">
        <f>SUM(C144:C160)</f>
        <v>32000000</v>
      </c>
      <c r="D161" s="228">
        <f t="shared" ref="D161:O161" si="30">SUM(D144:D160)</f>
        <v>0</v>
      </c>
      <c r="E161" s="228">
        <f t="shared" si="30"/>
        <v>-263000</v>
      </c>
      <c r="F161" s="228">
        <f>SUM(F144:F160)</f>
        <v>28698880.66</v>
      </c>
      <c r="G161" s="228">
        <f t="shared" si="30"/>
        <v>3038119.3370000003</v>
      </c>
      <c r="H161" s="228">
        <f t="shared" si="30"/>
        <v>1540622.0000000002</v>
      </c>
      <c r="I161" s="228">
        <f t="shared" si="30"/>
        <v>0</v>
      </c>
      <c r="J161" s="228">
        <f t="shared" si="30"/>
        <v>0</v>
      </c>
      <c r="K161" s="228">
        <f>SUM(K144:K160)</f>
        <v>0</v>
      </c>
      <c r="L161" s="228">
        <f t="shared" si="30"/>
        <v>1497497.3370000003</v>
      </c>
      <c r="M161" s="228">
        <f t="shared" si="30"/>
        <v>0</v>
      </c>
      <c r="N161" s="228">
        <f t="shared" si="30"/>
        <v>654151.62</v>
      </c>
      <c r="O161" s="228">
        <f t="shared" si="30"/>
        <v>886470.38</v>
      </c>
      <c r="U161" s="227" t="s">
        <v>218</v>
      </c>
      <c r="V161" s="192">
        <v>22</v>
      </c>
      <c r="AA161" s="228">
        <f>SUM(AA144:AA160)</f>
        <v>0</v>
      </c>
      <c r="AB161" s="228">
        <f>SUM(AB144:AB160)</f>
        <v>0</v>
      </c>
      <c r="AC161" s="228">
        <f>SUM(AC144:AC160)</f>
        <v>0</v>
      </c>
      <c r="AD161" s="228">
        <f>SUM(AD144:AD160)</f>
        <v>0</v>
      </c>
      <c r="AF161" s="195">
        <f>C161+D161+E161-F161-G161</f>
        <v>2.9999995604157448E-3</v>
      </c>
      <c r="AH161" s="184">
        <v>137</v>
      </c>
      <c r="AJ161" s="184">
        <v>1391850.55</v>
      </c>
    </row>
    <row r="162" spans="1:36" ht="13.8" thickTop="1" x14ac:dyDescent="0.25">
      <c r="C162" s="212"/>
      <c r="D162" s="213"/>
      <c r="E162" s="213"/>
      <c r="F162" s="250"/>
      <c r="G162" s="215"/>
      <c r="H162" s="216"/>
      <c r="I162" s="213"/>
      <c r="J162" s="217"/>
      <c r="K162" s="217"/>
      <c r="L162" s="213"/>
      <c r="M162" s="213"/>
      <c r="N162" s="213"/>
      <c r="O162" s="213"/>
      <c r="AH162" s="184">
        <v>138</v>
      </c>
    </row>
    <row r="163" spans="1:36" x14ac:dyDescent="0.25">
      <c r="A163" s="224" t="s">
        <v>261</v>
      </c>
      <c r="C163" s="212"/>
      <c r="D163" s="213"/>
      <c r="E163" s="213"/>
      <c r="F163" s="221"/>
      <c r="G163" s="215"/>
      <c r="H163" s="216"/>
      <c r="I163" s="215"/>
      <c r="J163" s="215"/>
      <c r="K163" s="215"/>
      <c r="L163" s="213"/>
      <c r="M163" s="213"/>
      <c r="N163" s="213"/>
      <c r="O163" s="213"/>
      <c r="T163" s="224" t="s">
        <v>198</v>
      </c>
      <c r="V163" s="192">
        <v>5</v>
      </c>
      <c r="AH163" s="184">
        <v>139</v>
      </c>
    </row>
    <row r="164" spans="1:36" hidden="1" x14ac:dyDescent="0.25">
      <c r="B164" s="184" t="s">
        <v>257</v>
      </c>
      <c r="C164" s="212">
        <v>7500000</v>
      </c>
      <c r="D164" s="213"/>
      <c r="E164" s="213"/>
      <c r="F164" s="221">
        <f>570673.59+3006114.55+3749577.86+173634</f>
        <v>7500000</v>
      </c>
      <c r="G164" s="222">
        <v>0</v>
      </c>
      <c r="H164" s="223">
        <v>0</v>
      </c>
      <c r="I164" s="221">
        <v>0</v>
      </c>
      <c r="J164" s="226">
        <v>0</v>
      </c>
      <c r="K164" s="226">
        <v>0</v>
      </c>
      <c r="L164" s="221">
        <f>G164-H164-I164-J164-K164</f>
        <v>0</v>
      </c>
      <c r="M164" s="221"/>
      <c r="N164" s="221"/>
      <c r="O164" s="221">
        <f>H162+K162</f>
        <v>0</v>
      </c>
      <c r="P164" s="218">
        <v>42.1</v>
      </c>
      <c r="Q164" s="218">
        <v>38</v>
      </c>
      <c r="R164" s="218" t="s">
        <v>249</v>
      </c>
      <c r="AA164" s="194">
        <v>3749577.86</v>
      </c>
      <c r="AB164" s="194">
        <v>173634</v>
      </c>
      <c r="AD164" s="194">
        <f>AA164+AB164+AC164</f>
        <v>3923211.86</v>
      </c>
      <c r="AH164" s="184">
        <v>140</v>
      </c>
      <c r="AJ164" s="184">
        <v>0</v>
      </c>
    </row>
    <row r="165" spans="1:36" x14ac:dyDescent="0.25">
      <c r="B165" s="224" t="s">
        <v>201</v>
      </c>
      <c r="C165" s="212"/>
      <c r="D165" s="213"/>
      <c r="E165" s="213"/>
      <c r="F165" s="187"/>
      <c r="G165" s="215"/>
      <c r="H165" s="216"/>
      <c r="I165" s="213"/>
      <c r="J165" s="217"/>
      <c r="K165" s="217"/>
      <c r="L165" s="221"/>
      <c r="M165" s="221"/>
      <c r="N165" s="221"/>
      <c r="O165" s="221"/>
      <c r="AH165" s="184">
        <v>141</v>
      </c>
    </row>
    <row r="166" spans="1:36" x14ac:dyDescent="0.25">
      <c r="B166" s="184" t="s">
        <v>202</v>
      </c>
      <c r="C166" s="212">
        <f>300000+990000+990000+550000+990000+295000+150000+100000+510000+975000+900000+550000</f>
        <v>7300000</v>
      </c>
      <c r="D166" s="213"/>
      <c r="E166" s="213"/>
      <c r="F166" s="221">
        <f>2767576.24+680881.45+3851542.31</f>
        <v>7300000</v>
      </c>
      <c r="G166" s="222">
        <v>0</v>
      </c>
      <c r="H166" s="223">
        <v>0</v>
      </c>
      <c r="I166" s="221">
        <v>0</v>
      </c>
      <c r="J166" s="226">
        <v>0</v>
      </c>
      <c r="K166" s="226">
        <v>0</v>
      </c>
      <c r="L166" s="221">
        <f t="shared" ref="L166:L176" si="31">G166-H166-I166-J166-K166</f>
        <v>0</v>
      </c>
      <c r="M166" s="221">
        <f t="shared" ref="M166:M177" si="32">H166-N166-O166</f>
        <v>0</v>
      </c>
      <c r="N166" s="221"/>
      <c r="O166" s="221">
        <v>0</v>
      </c>
      <c r="P166" s="218" t="s">
        <v>250</v>
      </c>
      <c r="Q166" s="218">
        <v>38</v>
      </c>
      <c r="R166" s="218" t="s">
        <v>249</v>
      </c>
      <c r="AB166" s="194">
        <v>2978923.66</v>
      </c>
      <c r="AD166" s="194">
        <f t="shared" ref="AD166:AD177" si="33">AA166+AB166+AC166</f>
        <v>2978923.66</v>
      </c>
      <c r="AF166" s="195">
        <f t="shared" ref="AF166:AF177" si="34">C166+D166+E166-F166-G166</f>
        <v>0</v>
      </c>
      <c r="AH166" s="184">
        <v>142</v>
      </c>
      <c r="AJ166" s="184">
        <v>0</v>
      </c>
    </row>
    <row r="167" spans="1:36" x14ac:dyDescent="0.25">
      <c r="B167" s="184" t="s">
        <v>203</v>
      </c>
      <c r="C167" s="212">
        <f>990000+990000+695000</f>
        <v>2675000</v>
      </c>
      <c r="D167" s="221">
        <v>-0.02</v>
      </c>
      <c r="E167" s="213"/>
      <c r="F167" s="222">
        <f>13205.39+184961.16+174257.2+675592.72+34722.5</f>
        <v>1082738.97</v>
      </c>
      <c r="G167" s="222">
        <f>[1]UMB!F211</f>
        <v>1592261.0099999995</v>
      </c>
      <c r="H167" s="223">
        <f>[1]UMB!H211</f>
        <v>1142422.08</v>
      </c>
      <c r="I167" s="221">
        <f>[1]UMB!I211</f>
        <v>0</v>
      </c>
      <c r="J167" s="226">
        <f>[1]UMB!J211</f>
        <v>0</v>
      </c>
      <c r="K167" s="226">
        <f>[1]UMB!K211</f>
        <v>0</v>
      </c>
      <c r="L167" s="221">
        <f t="shared" si="31"/>
        <v>449838.92999999947</v>
      </c>
      <c r="M167" s="221">
        <f t="shared" si="32"/>
        <v>352972.50000000012</v>
      </c>
      <c r="N167" s="221">
        <v>238561.30999999994</v>
      </c>
      <c r="O167" s="221">
        <v>550888.27</v>
      </c>
      <c r="P167" s="218" t="s">
        <v>250</v>
      </c>
      <c r="Q167" s="218">
        <v>38</v>
      </c>
      <c r="R167" s="218" t="s">
        <v>249</v>
      </c>
      <c r="AD167" s="194">
        <f t="shared" si="33"/>
        <v>0</v>
      </c>
      <c r="AF167" s="195">
        <f t="shared" si="34"/>
        <v>0</v>
      </c>
      <c r="AH167" s="184">
        <v>143</v>
      </c>
      <c r="AJ167" s="184">
        <v>789449.58</v>
      </c>
    </row>
    <row r="168" spans="1:36" hidden="1" x14ac:dyDescent="0.25">
      <c r="B168" s="184" t="s">
        <v>204</v>
      </c>
      <c r="C168" s="212">
        <v>642000</v>
      </c>
      <c r="D168" s="213"/>
      <c r="E168" s="213"/>
      <c r="F168" s="221">
        <f>637427.17+4572.83</f>
        <v>642000</v>
      </c>
      <c r="G168" s="222">
        <f>[1]UMES!F117</f>
        <v>-4.1836756281554699E-11</v>
      </c>
      <c r="H168" s="223">
        <f>[1]UMES!H117</f>
        <v>0</v>
      </c>
      <c r="I168" s="221">
        <f>[1]UMES!I117</f>
        <v>0</v>
      </c>
      <c r="J168" s="226">
        <f>[1]UMES!J117</f>
        <v>0</v>
      </c>
      <c r="K168" s="226">
        <f>[1]UMES!K117</f>
        <v>0</v>
      </c>
      <c r="L168" s="221">
        <f t="shared" si="31"/>
        <v>-4.1836756281554699E-11</v>
      </c>
      <c r="M168" s="221">
        <f t="shared" si="32"/>
        <v>0</v>
      </c>
      <c r="N168" s="221">
        <v>0</v>
      </c>
      <c r="O168" s="221">
        <f>H168+I168+J168+K168</f>
        <v>0</v>
      </c>
      <c r="P168" s="218" t="s">
        <v>250</v>
      </c>
      <c r="Q168" s="218">
        <v>38</v>
      </c>
      <c r="R168" s="218" t="s">
        <v>249</v>
      </c>
      <c r="AD168" s="194">
        <f t="shared" si="33"/>
        <v>0</v>
      </c>
      <c r="AF168" s="195">
        <f t="shared" si="34"/>
        <v>4.1836756281554699E-11</v>
      </c>
      <c r="AH168" s="184">
        <v>144</v>
      </c>
      <c r="AJ168" s="184">
        <v>0</v>
      </c>
    </row>
    <row r="169" spans="1:36" hidden="1" x14ac:dyDescent="0.25">
      <c r="B169" s="184" t="s">
        <v>205</v>
      </c>
      <c r="C169" s="212">
        <v>1452000</v>
      </c>
      <c r="D169" s="213"/>
      <c r="E169" s="213"/>
      <c r="F169" s="221">
        <f>371294.08+1056822.47+23883.45</f>
        <v>1452000</v>
      </c>
      <c r="G169" s="222">
        <v>0</v>
      </c>
      <c r="H169" s="223">
        <v>0</v>
      </c>
      <c r="I169" s="221">
        <v>0</v>
      </c>
      <c r="J169" s="226">
        <v>0</v>
      </c>
      <c r="K169" s="226">
        <v>0</v>
      </c>
      <c r="L169" s="221">
        <f t="shared" si="31"/>
        <v>0</v>
      </c>
      <c r="M169" s="221">
        <f t="shared" si="32"/>
        <v>0</v>
      </c>
      <c r="N169" s="221">
        <v>0</v>
      </c>
      <c r="O169" s="221">
        <f>H169+I169+J169+K169</f>
        <v>0</v>
      </c>
      <c r="P169" s="218" t="s">
        <v>250</v>
      </c>
      <c r="Q169" s="218">
        <v>38</v>
      </c>
      <c r="R169" s="218" t="s">
        <v>249</v>
      </c>
      <c r="AA169" s="194">
        <v>1027824.53</v>
      </c>
      <c r="AD169" s="194">
        <f t="shared" si="33"/>
        <v>1027824.53</v>
      </c>
      <c r="AF169" s="195">
        <f t="shared" si="34"/>
        <v>0</v>
      </c>
      <c r="AH169" s="184">
        <v>145</v>
      </c>
      <c r="AJ169" s="184">
        <v>0</v>
      </c>
    </row>
    <row r="170" spans="1:36" hidden="1" x14ac:dyDescent="0.25">
      <c r="B170" s="184" t="s">
        <v>206</v>
      </c>
      <c r="C170" s="212">
        <v>317000</v>
      </c>
      <c r="D170" s="213"/>
      <c r="E170" s="213"/>
      <c r="F170" s="221">
        <f>2937.02+314062.98</f>
        <v>317000</v>
      </c>
      <c r="G170" s="222">
        <v>0</v>
      </c>
      <c r="H170" s="223">
        <v>0</v>
      </c>
      <c r="I170" s="221">
        <v>0</v>
      </c>
      <c r="J170" s="226">
        <v>0</v>
      </c>
      <c r="K170" s="226">
        <v>0</v>
      </c>
      <c r="L170" s="221">
        <f t="shared" si="31"/>
        <v>0</v>
      </c>
      <c r="M170" s="221">
        <f t="shared" si="32"/>
        <v>0</v>
      </c>
      <c r="N170" s="221">
        <v>0</v>
      </c>
      <c r="O170" s="221">
        <f>H170+I170+J170+K170</f>
        <v>0</v>
      </c>
      <c r="P170" s="218" t="s">
        <v>250</v>
      </c>
      <c r="Q170" s="218">
        <v>38</v>
      </c>
      <c r="R170" s="218" t="s">
        <v>249</v>
      </c>
      <c r="AD170" s="194">
        <f t="shared" si="33"/>
        <v>0</v>
      </c>
      <c r="AF170" s="195">
        <f t="shared" si="34"/>
        <v>0</v>
      </c>
      <c r="AH170" s="184">
        <v>146</v>
      </c>
      <c r="AJ170" s="184">
        <v>0</v>
      </c>
    </row>
    <row r="171" spans="1:36" x14ac:dyDescent="0.25">
      <c r="B171" s="184" t="s">
        <v>207</v>
      </c>
      <c r="C171" s="212">
        <f>400000+154000</f>
        <v>554000</v>
      </c>
      <c r="D171" s="213"/>
      <c r="E171" s="213"/>
      <c r="F171" s="222">
        <f>28173+78156.58+373685.53</f>
        <v>480015.11000000004</v>
      </c>
      <c r="G171" s="222">
        <f>[1]BSU!F88</f>
        <v>73984.890000000014</v>
      </c>
      <c r="H171" s="223">
        <f>[1]BSU!H88</f>
        <v>73984.89</v>
      </c>
      <c r="I171" s="221">
        <f>[1]BSU!I88</f>
        <v>0</v>
      </c>
      <c r="J171" s="226">
        <f>[1]BSU!J88</f>
        <v>0</v>
      </c>
      <c r="K171" s="226">
        <f>[1]BSU!K88</f>
        <v>0</v>
      </c>
      <c r="L171" s="221">
        <f t="shared" si="31"/>
        <v>1.4551915228366852E-11</v>
      </c>
      <c r="M171" s="221">
        <f t="shared" si="32"/>
        <v>0</v>
      </c>
      <c r="N171" s="221">
        <v>0</v>
      </c>
      <c r="O171" s="221">
        <v>73984.89</v>
      </c>
      <c r="P171" s="218" t="s">
        <v>250</v>
      </c>
      <c r="Q171" s="218">
        <v>38</v>
      </c>
      <c r="R171" s="218" t="s">
        <v>249</v>
      </c>
      <c r="AA171" s="194">
        <v>28173</v>
      </c>
      <c r="AD171" s="194">
        <f t="shared" si="33"/>
        <v>28173</v>
      </c>
      <c r="AF171" s="195">
        <f t="shared" si="34"/>
        <v>0</v>
      </c>
      <c r="AH171" s="184">
        <v>147</v>
      </c>
      <c r="AJ171" s="184">
        <v>73984.89</v>
      </c>
    </row>
    <row r="172" spans="1:36" x14ac:dyDescent="0.25">
      <c r="B172" s="184" t="s">
        <v>208</v>
      </c>
      <c r="C172" s="212">
        <f>50000+150000+109000</f>
        <v>309000</v>
      </c>
      <c r="D172" s="213"/>
      <c r="E172" s="213"/>
      <c r="F172" s="221">
        <f>309000</f>
        <v>309000</v>
      </c>
      <c r="G172" s="222">
        <v>0</v>
      </c>
      <c r="H172" s="223">
        <v>0</v>
      </c>
      <c r="I172" s="221">
        <v>0</v>
      </c>
      <c r="J172" s="226">
        <v>0</v>
      </c>
      <c r="K172" s="226">
        <v>0</v>
      </c>
      <c r="L172" s="221">
        <f t="shared" si="31"/>
        <v>0</v>
      </c>
      <c r="M172" s="221">
        <f t="shared" si="32"/>
        <v>0</v>
      </c>
      <c r="N172" s="221">
        <v>0</v>
      </c>
      <c r="O172" s="221">
        <v>0</v>
      </c>
      <c r="P172" s="218" t="s">
        <v>250</v>
      </c>
      <c r="Q172" s="218">
        <v>38</v>
      </c>
      <c r="R172" s="218" t="s">
        <v>249</v>
      </c>
      <c r="AD172" s="194">
        <f t="shared" si="33"/>
        <v>0</v>
      </c>
      <c r="AF172" s="195">
        <f t="shared" si="34"/>
        <v>0</v>
      </c>
      <c r="AH172" s="184">
        <v>148</v>
      </c>
      <c r="AJ172" s="184">
        <v>0</v>
      </c>
    </row>
    <row r="173" spans="1:36" x14ac:dyDescent="0.25">
      <c r="B173" s="184" t="s">
        <v>209</v>
      </c>
      <c r="C173" s="212">
        <f>96974+51974+496052</f>
        <v>645000</v>
      </c>
      <c r="D173" s="213"/>
      <c r="E173" s="213"/>
      <c r="F173" s="222">
        <f>499480.88+49097+52268</f>
        <v>600845.88</v>
      </c>
      <c r="G173" s="222">
        <f>[1]FSU!F131</f>
        <v>44154.119999999995</v>
      </c>
      <c r="H173" s="223">
        <f>[1]FSU!H131</f>
        <v>44154.12</v>
      </c>
      <c r="I173" s="221">
        <f>[1]FSU!I131</f>
        <v>0</v>
      </c>
      <c r="J173" s="226">
        <f>[1]FSU!J131</f>
        <v>0</v>
      </c>
      <c r="K173" s="226">
        <f>[1]FSU!K131</f>
        <v>0</v>
      </c>
      <c r="L173" s="221">
        <f t="shared" si="31"/>
        <v>-7.2759576141834259E-12</v>
      </c>
      <c r="M173" s="221">
        <f t="shared" si="32"/>
        <v>0</v>
      </c>
      <c r="N173" s="221">
        <v>0</v>
      </c>
      <c r="O173" s="221">
        <v>44154.12</v>
      </c>
      <c r="P173" s="218" t="s">
        <v>250</v>
      </c>
      <c r="Q173" s="218">
        <v>38</v>
      </c>
      <c r="R173" s="218" t="s">
        <v>249</v>
      </c>
      <c r="AA173" s="194">
        <v>496051.52</v>
      </c>
      <c r="AD173" s="194">
        <f t="shared" si="33"/>
        <v>496051.52</v>
      </c>
      <c r="AF173" s="195">
        <f t="shared" si="34"/>
        <v>0</v>
      </c>
      <c r="AH173" s="184">
        <v>149</v>
      </c>
      <c r="AJ173" s="184">
        <v>44154.12</v>
      </c>
    </row>
    <row r="174" spans="1:36" x14ac:dyDescent="0.25">
      <c r="B174" s="184" t="s">
        <v>226</v>
      </c>
      <c r="C174" s="212">
        <v>536000</v>
      </c>
      <c r="D174" s="213"/>
      <c r="E174" s="213"/>
      <c r="F174" s="222">
        <f>10442.22+514492.66+11065.12</f>
        <v>536000</v>
      </c>
      <c r="G174" s="222">
        <v>0</v>
      </c>
      <c r="H174" s="223">
        <v>0</v>
      </c>
      <c r="I174" s="221">
        <v>0</v>
      </c>
      <c r="J174" s="226">
        <v>0</v>
      </c>
      <c r="K174" s="226">
        <v>0</v>
      </c>
      <c r="L174" s="221">
        <f t="shared" si="31"/>
        <v>0</v>
      </c>
      <c r="M174" s="221">
        <f t="shared" si="32"/>
        <v>0</v>
      </c>
      <c r="N174" s="221">
        <v>0</v>
      </c>
      <c r="O174" s="221">
        <v>0</v>
      </c>
      <c r="P174" s="218" t="s">
        <v>250</v>
      </c>
      <c r="Q174" s="218">
        <v>38</v>
      </c>
      <c r="R174" s="218" t="s">
        <v>249</v>
      </c>
      <c r="AD174" s="194">
        <f t="shared" si="33"/>
        <v>0</v>
      </c>
      <c r="AF174" s="195">
        <f t="shared" si="34"/>
        <v>0</v>
      </c>
      <c r="AH174" s="184">
        <v>150</v>
      </c>
      <c r="AJ174" s="184">
        <v>0</v>
      </c>
    </row>
    <row r="175" spans="1:36" x14ac:dyDescent="0.25">
      <c r="B175" s="184" t="s">
        <v>211</v>
      </c>
      <c r="C175" s="212">
        <f>600000+550000+439000</f>
        <v>1589000</v>
      </c>
      <c r="D175" s="221">
        <v>-0.7</v>
      </c>
      <c r="F175" s="222">
        <f>588447.37+453769.26+513210.16</f>
        <v>1555426.79</v>
      </c>
      <c r="G175" s="222">
        <f>[1]TU!F184</f>
        <v>33572.510000000024</v>
      </c>
      <c r="H175" s="223">
        <f>[1]TU!H184</f>
        <v>33572.51</v>
      </c>
      <c r="I175" s="221">
        <v>0</v>
      </c>
      <c r="J175" s="226">
        <v>0</v>
      </c>
      <c r="K175" s="226">
        <v>0</v>
      </c>
      <c r="L175" s="221">
        <f t="shared" si="31"/>
        <v>2.1827872842550278E-11</v>
      </c>
      <c r="M175" s="221">
        <f t="shared" si="32"/>
        <v>0</v>
      </c>
      <c r="N175" s="221">
        <v>0</v>
      </c>
      <c r="O175" s="221">
        <v>33572.51</v>
      </c>
      <c r="P175" s="218" t="s">
        <v>250</v>
      </c>
      <c r="Q175" s="218">
        <v>38</v>
      </c>
      <c r="R175" s="218" t="s">
        <v>249</v>
      </c>
      <c r="AA175" s="194">
        <v>46067.519999999997</v>
      </c>
      <c r="AD175" s="194">
        <f t="shared" si="33"/>
        <v>46067.519999999997</v>
      </c>
      <c r="AF175" s="195">
        <f t="shared" si="34"/>
        <v>0</v>
      </c>
      <c r="AH175" s="184">
        <v>151</v>
      </c>
      <c r="AJ175" s="184">
        <v>33572.51</v>
      </c>
    </row>
    <row r="176" spans="1:36" x14ac:dyDescent="0.25">
      <c r="B176" s="184" t="s">
        <v>212</v>
      </c>
      <c r="C176" s="212">
        <v>418000</v>
      </c>
      <c r="D176" s="213"/>
      <c r="E176" s="213"/>
      <c r="F176" s="221">
        <f>78065+160839.77+177315+1780.23</f>
        <v>418000</v>
      </c>
      <c r="G176" s="222">
        <f>[1]UB!F109</f>
        <v>1.0459189070388675E-11</v>
      </c>
      <c r="H176" s="223">
        <f>[1]UB!H109</f>
        <v>0</v>
      </c>
      <c r="I176" s="221">
        <f>[1]UB!I109</f>
        <v>0</v>
      </c>
      <c r="J176" s="226">
        <f>[1]UB!J109</f>
        <v>0</v>
      </c>
      <c r="K176" s="226">
        <f>[1]UB!K109</f>
        <v>0</v>
      </c>
      <c r="L176" s="221">
        <f t="shared" si="31"/>
        <v>1.0459189070388675E-11</v>
      </c>
      <c r="M176" s="221">
        <f t="shared" si="32"/>
        <v>0</v>
      </c>
      <c r="N176" s="221">
        <v>0</v>
      </c>
      <c r="O176" s="221">
        <v>0</v>
      </c>
      <c r="P176" s="218" t="s">
        <v>250</v>
      </c>
      <c r="Q176" s="218">
        <v>38</v>
      </c>
      <c r="R176" s="218" t="s">
        <v>249</v>
      </c>
      <c r="AA176" s="194">
        <v>159435</v>
      </c>
      <c r="AD176" s="194">
        <f t="shared" si="33"/>
        <v>159435</v>
      </c>
      <c r="AF176" s="195">
        <f t="shared" si="34"/>
        <v>-1.0459189070388675E-11</v>
      </c>
      <c r="AH176" s="184">
        <v>152</v>
      </c>
      <c r="AJ176" s="184">
        <v>0</v>
      </c>
    </row>
    <row r="177" spans="1:36" x14ac:dyDescent="0.25">
      <c r="B177" s="224" t="s">
        <v>216</v>
      </c>
      <c r="C177" s="212">
        <v>563000</v>
      </c>
      <c r="D177" s="213"/>
      <c r="E177" s="221">
        <f>-563000</f>
        <v>-563000</v>
      </c>
      <c r="F177" s="221"/>
      <c r="G177" s="222">
        <f>'[1]Emergency Funds'!G74</f>
        <v>0</v>
      </c>
      <c r="H177" s="223"/>
      <c r="I177" s="221"/>
      <c r="J177" s="226"/>
      <c r="K177" s="226"/>
      <c r="L177" s="221"/>
      <c r="M177" s="221">
        <f t="shared" si="32"/>
        <v>0</v>
      </c>
      <c r="N177" s="221"/>
      <c r="O177" s="221"/>
      <c r="P177" s="218" t="s">
        <v>250</v>
      </c>
      <c r="Q177" s="218">
        <v>38</v>
      </c>
      <c r="R177" s="218" t="s">
        <v>249</v>
      </c>
      <c r="AD177" s="194">
        <f t="shared" si="33"/>
        <v>0</v>
      </c>
      <c r="AF177" s="195">
        <f t="shared" si="34"/>
        <v>0</v>
      </c>
      <c r="AH177" s="184">
        <v>153</v>
      </c>
    </row>
    <row r="178" spans="1:36" x14ac:dyDescent="0.25">
      <c r="C178" s="212"/>
      <c r="D178" s="213"/>
      <c r="E178" s="213"/>
      <c r="F178" s="221"/>
      <c r="G178" s="215"/>
      <c r="H178" s="216"/>
      <c r="I178" s="213"/>
      <c r="J178" s="217"/>
      <c r="K178" s="217"/>
      <c r="L178" s="213"/>
      <c r="M178" s="213"/>
      <c r="N178" s="213"/>
      <c r="O178" s="213"/>
      <c r="AH178" s="184">
        <v>154</v>
      </c>
    </row>
    <row r="179" spans="1:36" ht="13.8" thickBot="1" x14ac:dyDescent="0.3">
      <c r="B179" s="227" t="s">
        <v>262</v>
      </c>
      <c r="C179" s="228">
        <f t="shared" ref="C179:K179" si="35">SUM(C164:C178)</f>
        <v>24500000</v>
      </c>
      <c r="D179" s="251">
        <f t="shared" si="35"/>
        <v>-0.72</v>
      </c>
      <c r="E179" s="251">
        <f t="shared" si="35"/>
        <v>-563000</v>
      </c>
      <c r="F179" s="251">
        <f t="shared" si="35"/>
        <v>22193026.749999996</v>
      </c>
      <c r="G179" s="251">
        <f t="shared" si="35"/>
        <v>1743972.5299999996</v>
      </c>
      <c r="H179" s="251">
        <f t="shared" si="35"/>
        <v>1294133.6000000001</v>
      </c>
      <c r="I179" s="251">
        <f t="shared" si="35"/>
        <v>0</v>
      </c>
      <c r="J179" s="251">
        <f t="shared" si="35"/>
        <v>0</v>
      </c>
      <c r="K179" s="251">
        <f t="shared" si="35"/>
        <v>0</v>
      </c>
      <c r="L179" s="251">
        <f>SUM(L164:L178)</f>
        <v>449838.92999999941</v>
      </c>
      <c r="M179" s="251">
        <f>SUM(M164:M178)</f>
        <v>352972.50000000012</v>
      </c>
      <c r="N179" s="251">
        <f>SUM(N164:N178)</f>
        <v>238561.30999999994</v>
      </c>
      <c r="O179" s="251">
        <f>SUM(O164:O178)</f>
        <v>702599.79</v>
      </c>
      <c r="U179" s="227" t="s">
        <v>218</v>
      </c>
      <c r="V179" s="192">
        <v>22</v>
      </c>
      <c r="AA179" s="251">
        <f>SUM(AA164:AA178)</f>
        <v>5507129.4299999997</v>
      </c>
      <c r="AB179" s="251">
        <f>SUM(AB164:AB178)</f>
        <v>3152557.66</v>
      </c>
      <c r="AC179" s="251">
        <f>SUM(AC164:AC178)</f>
        <v>0</v>
      </c>
      <c r="AD179" s="251">
        <f>SUM(AD164:AD178)</f>
        <v>8659687.0899999999</v>
      </c>
      <c r="AF179" s="195">
        <f>C179+D179+E179-F179-G179</f>
        <v>5.3551048040390015E-9</v>
      </c>
      <c r="AH179" s="184">
        <v>155</v>
      </c>
      <c r="AJ179" s="184">
        <v>941161.1</v>
      </c>
    </row>
    <row r="180" spans="1:36" ht="13.8" thickTop="1" x14ac:dyDescent="0.25">
      <c r="C180" s="212"/>
      <c r="D180" s="213"/>
      <c r="E180" s="213"/>
      <c r="F180" s="250"/>
      <c r="G180" s="215"/>
      <c r="H180" s="216"/>
      <c r="I180" s="213"/>
      <c r="J180" s="217"/>
      <c r="K180" s="217"/>
      <c r="L180" s="213"/>
      <c r="M180" s="213"/>
      <c r="N180" s="213"/>
      <c r="O180" s="213"/>
      <c r="AH180" s="184">
        <v>156</v>
      </c>
    </row>
    <row r="181" spans="1:36" x14ac:dyDescent="0.25">
      <c r="A181" s="224" t="s">
        <v>263</v>
      </c>
      <c r="C181" s="212"/>
      <c r="D181" s="213"/>
      <c r="E181" s="213"/>
      <c r="F181" s="221"/>
      <c r="G181" s="215"/>
      <c r="H181" s="216"/>
      <c r="I181" s="215"/>
      <c r="J181" s="215"/>
      <c r="K181" s="215"/>
      <c r="L181" s="213"/>
      <c r="M181" s="213"/>
      <c r="N181" s="213"/>
      <c r="O181" s="213"/>
      <c r="T181" s="224" t="s">
        <v>198</v>
      </c>
      <c r="V181" s="192">
        <v>5</v>
      </c>
      <c r="AH181" s="184">
        <v>157</v>
      </c>
    </row>
    <row r="182" spans="1:36" x14ac:dyDescent="0.25">
      <c r="B182" s="184" t="s">
        <v>264</v>
      </c>
      <c r="C182" s="212">
        <v>5000000</v>
      </c>
      <c r="D182" s="221"/>
      <c r="E182" s="221"/>
      <c r="F182" s="221">
        <f>233366.84+57065.83+3761966.02+325934.68+385895.56+235771.07</f>
        <v>5000000</v>
      </c>
      <c r="G182" s="222">
        <v>0</v>
      </c>
      <c r="H182" s="223">
        <v>0</v>
      </c>
      <c r="I182" s="221">
        <v>0</v>
      </c>
      <c r="J182" s="226">
        <v>0</v>
      </c>
      <c r="K182" s="226">
        <v>0</v>
      </c>
      <c r="L182" s="221">
        <f>G182-H182-I182-J182-K182</f>
        <v>0</v>
      </c>
      <c r="M182" s="221">
        <f>H182-N182-O182</f>
        <v>0</v>
      </c>
      <c r="N182" s="221"/>
      <c r="O182" s="221">
        <v>0</v>
      </c>
      <c r="P182" s="218">
        <v>41</v>
      </c>
      <c r="Q182" s="218">
        <v>37</v>
      </c>
      <c r="R182" s="218" t="s">
        <v>249</v>
      </c>
      <c r="AB182" s="194">
        <v>165841.88</v>
      </c>
      <c r="AD182" s="194">
        <f t="shared" ref="AD182:AD198" si="36">AA182+AB182+AC182</f>
        <v>165841.88</v>
      </c>
      <c r="AF182" s="195">
        <f t="shared" ref="AF182:AF199" si="37">C182+D182+E182-F182-G182</f>
        <v>0</v>
      </c>
      <c r="AH182" s="184">
        <v>158</v>
      </c>
      <c r="AJ182" s="184">
        <v>0</v>
      </c>
    </row>
    <row r="183" spans="1:36" x14ac:dyDescent="0.25">
      <c r="B183" s="184" t="s">
        <v>257</v>
      </c>
      <c r="C183" s="212">
        <v>20000000</v>
      </c>
      <c r="D183" s="221"/>
      <c r="E183" s="221"/>
      <c r="F183" s="221">
        <f>57764.24+19923609.95+18625.81</f>
        <v>19999999.999999996</v>
      </c>
      <c r="G183" s="222">
        <v>0</v>
      </c>
      <c r="H183" s="223">
        <v>0</v>
      </c>
      <c r="I183" s="221">
        <v>0</v>
      </c>
      <c r="J183" s="226">
        <v>0</v>
      </c>
      <c r="K183" s="226">
        <v>0</v>
      </c>
      <c r="L183" s="221">
        <f>G183-H183-I183-J183-K183</f>
        <v>0</v>
      </c>
      <c r="M183" s="221">
        <f>H183-N183-O183</f>
        <v>0</v>
      </c>
      <c r="N183" s="221"/>
      <c r="O183" s="221">
        <v>0</v>
      </c>
      <c r="P183" s="218">
        <v>42</v>
      </c>
      <c r="Q183" s="218">
        <v>37</v>
      </c>
      <c r="R183" s="218" t="s">
        <v>249</v>
      </c>
      <c r="AD183" s="194">
        <f t="shared" si="36"/>
        <v>0</v>
      </c>
      <c r="AF183" s="195">
        <f t="shared" si="37"/>
        <v>3.7252902984619141E-9</v>
      </c>
      <c r="AH183" s="184">
        <v>159</v>
      </c>
      <c r="AJ183" s="184">
        <v>0</v>
      </c>
    </row>
    <row r="184" spans="1:36" x14ac:dyDescent="0.25">
      <c r="B184" s="184" t="s">
        <v>265</v>
      </c>
      <c r="C184" s="212">
        <v>12500000</v>
      </c>
      <c r="D184" s="221"/>
      <c r="E184" s="221"/>
      <c r="F184" s="221">
        <f>9668105.38+340252.44+1882829.88+36511.16+572301.14</f>
        <v>12500000</v>
      </c>
      <c r="G184" s="222">
        <v>0</v>
      </c>
      <c r="H184" s="223">
        <v>0</v>
      </c>
      <c r="I184" s="221">
        <v>0</v>
      </c>
      <c r="J184" s="226">
        <v>0</v>
      </c>
      <c r="K184" s="226">
        <v>0</v>
      </c>
      <c r="L184" s="221">
        <f>G184-H184-I184-J184-K184</f>
        <v>0</v>
      </c>
      <c r="M184" s="221">
        <f>H184-N184-O184</f>
        <v>0</v>
      </c>
      <c r="N184" s="221"/>
      <c r="O184" s="221">
        <v>0</v>
      </c>
      <c r="P184" s="218">
        <v>43</v>
      </c>
      <c r="Q184" s="218">
        <v>37</v>
      </c>
      <c r="R184" s="218" t="s">
        <v>249</v>
      </c>
      <c r="AA184" s="194">
        <v>1589088.78</v>
      </c>
      <c r="AB184" s="194">
        <v>26085</v>
      </c>
      <c r="AD184" s="194">
        <f t="shared" si="36"/>
        <v>1615173.78</v>
      </c>
      <c r="AF184" s="195">
        <f t="shared" si="37"/>
        <v>0</v>
      </c>
      <c r="AH184" s="184">
        <v>160</v>
      </c>
      <c r="AJ184" s="184">
        <v>0</v>
      </c>
    </row>
    <row r="185" spans="1:36" x14ac:dyDescent="0.25">
      <c r="B185" s="224" t="s">
        <v>201</v>
      </c>
      <c r="C185" s="212"/>
      <c r="D185" s="221"/>
      <c r="E185" s="221"/>
      <c r="F185" s="221"/>
      <c r="G185" s="222"/>
      <c r="H185" s="223"/>
      <c r="I185" s="221"/>
      <c r="J185" s="226"/>
      <c r="K185" s="226"/>
      <c r="L185" s="221"/>
      <c r="M185" s="221"/>
      <c r="N185" s="221"/>
      <c r="O185" s="221"/>
      <c r="AD185" s="194">
        <f t="shared" si="36"/>
        <v>0</v>
      </c>
      <c r="AF185" s="195">
        <f t="shared" si="37"/>
        <v>0</v>
      </c>
      <c r="AH185" s="184">
        <v>161</v>
      </c>
    </row>
    <row r="186" spans="1:36" x14ac:dyDescent="0.25">
      <c r="B186" s="184" t="s">
        <v>202</v>
      </c>
      <c r="C186" s="212">
        <f>300000+990000+990000+550000+990000+295000+150000+100000+510000+975000+900000+550000</f>
        <v>7300000</v>
      </c>
      <c r="D186" s="221"/>
      <c r="E186" s="221"/>
      <c r="F186" s="221">
        <f>1361945.98+5938054.02</f>
        <v>7300000</v>
      </c>
      <c r="G186" s="222">
        <v>0</v>
      </c>
      <c r="H186" s="223">
        <v>0</v>
      </c>
      <c r="I186" s="221">
        <v>0</v>
      </c>
      <c r="J186" s="226">
        <v>0</v>
      </c>
      <c r="K186" s="226">
        <v>0</v>
      </c>
      <c r="L186" s="221">
        <f t="shared" ref="L186:L198" si="38">G186-H186-I186-J186-K186</f>
        <v>0</v>
      </c>
      <c r="M186" s="221">
        <f t="shared" ref="M186:M199" si="39">H186-N186-O186</f>
        <v>0</v>
      </c>
      <c r="N186" s="221"/>
      <c r="O186" s="221">
        <v>0</v>
      </c>
      <c r="P186" s="218" t="s">
        <v>250</v>
      </c>
      <c r="Q186" s="218">
        <v>37</v>
      </c>
      <c r="R186" s="218" t="s">
        <v>249</v>
      </c>
      <c r="AD186" s="194">
        <f t="shared" si="36"/>
        <v>0</v>
      </c>
      <c r="AF186" s="195">
        <f t="shared" si="37"/>
        <v>0</v>
      </c>
      <c r="AH186" s="184">
        <v>162</v>
      </c>
      <c r="AJ186" s="184">
        <v>0</v>
      </c>
    </row>
    <row r="187" spans="1:36" x14ac:dyDescent="0.25">
      <c r="B187" s="184" t="s">
        <v>203</v>
      </c>
      <c r="C187" s="212">
        <f>990000+990000+695000</f>
        <v>2675000</v>
      </c>
      <c r="D187" s="221">
        <v>0.02</v>
      </c>
      <c r="E187" s="221"/>
      <c r="F187" s="221">
        <f>889486.9+1052436.18+89262.15+515004.4+39277.38</f>
        <v>2585467.0099999998</v>
      </c>
      <c r="G187" s="222">
        <f>[1]UMB!F228</f>
        <v>89533.010000000111</v>
      </c>
      <c r="H187" s="223">
        <f>[1]UMB!H228</f>
        <v>89533.01</v>
      </c>
      <c r="I187" s="221">
        <f>[1]UMB!I228</f>
        <v>0</v>
      </c>
      <c r="J187" s="226">
        <f>[1]UMB!J228</f>
        <v>0</v>
      </c>
      <c r="K187" s="226">
        <f>[1]UMB!K228</f>
        <v>0</v>
      </c>
      <c r="L187" s="221">
        <f t="shared" si="38"/>
        <v>1.1641532182693481E-10</v>
      </c>
      <c r="M187" s="221">
        <f t="shared" si="39"/>
        <v>0</v>
      </c>
      <c r="N187" s="221">
        <v>0</v>
      </c>
      <c r="O187" s="221">
        <v>89533.01</v>
      </c>
      <c r="P187" s="218" t="s">
        <v>250</v>
      </c>
      <c r="Q187" s="218">
        <v>37</v>
      </c>
      <c r="R187" s="218" t="s">
        <v>249</v>
      </c>
      <c r="AA187" s="194">
        <v>370845.1</v>
      </c>
      <c r="AD187" s="194">
        <f t="shared" si="36"/>
        <v>370845.1</v>
      </c>
      <c r="AF187" s="195">
        <f t="shared" si="37"/>
        <v>1.3096723705530167E-10</v>
      </c>
      <c r="AH187" s="184">
        <v>163</v>
      </c>
      <c r="AJ187" s="184">
        <v>89533.01</v>
      </c>
    </row>
    <row r="188" spans="1:36" x14ac:dyDescent="0.25">
      <c r="B188" s="184" t="s">
        <v>204</v>
      </c>
      <c r="C188" s="212">
        <v>642000</v>
      </c>
      <c r="D188" s="221"/>
      <c r="E188" s="221"/>
      <c r="F188" s="222">
        <f>77261+564739</f>
        <v>642000</v>
      </c>
      <c r="G188" s="222">
        <v>0</v>
      </c>
      <c r="H188" s="223">
        <v>0</v>
      </c>
      <c r="I188" s="221">
        <v>0</v>
      </c>
      <c r="J188" s="226">
        <v>0</v>
      </c>
      <c r="K188" s="226">
        <v>0</v>
      </c>
      <c r="L188" s="221">
        <f t="shared" si="38"/>
        <v>0</v>
      </c>
      <c r="M188" s="221">
        <f t="shared" si="39"/>
        <v>0</v>
      </c>
      <c r="N188" s="221">
        <v>0</v>
      </c>
      <c r="O188" s="221">
        <v>0</v>
      </c>
      <c r="P188" s="218" t="s">
        <v>250</v>
      </c>
      <c r="Q188" s="218">
        <v>37</v>
      </c>
      <c r="R188" s="218" t="s">
        <v>249</v>
      </c>
      <c r="AD188" s="194">
        <f t="shared" si="36"/>
        <v>0</v>
      </c>
      <c r="AF188" s="195">
        <f t="shared" si="37"/>
        <v>0</v>
      </c>
      <c r="AH188" s="184">
        <v>164</v>
      </c>
      <c r="AJ188" s="184">
        <v>0</v>
      </c>
    </row>
    <row r="189" spans="1:36" x14ac:dyDescent="0.25">
      <c r="B189" s="184" t="s">
        <v>205</v>
      </c>
      <c r="C189" s="212">
        <v>1452000</v>
      </c>
      <c r="D189" s="221"/>
      <c r="E189" s="221"/>
      <c r="F189" s="221">
        <f>853408.33+498591.67+100000</f>
        <v>1452000</v>
      </c>
      <c r="G189" s="222">
        <v>0</v>
      </c>
      <c r="H189" s="223">
        <v>0</v>
      </c>
      <c r="I189" s="221">
        <v>0</v>
      </c>
      <c r="J189" s="226">
        <v>0</v>
      </c>
      <c r="K189" s="226">
        <v>0</v>
      </c>
      <c r="L189" s="221">
        <f t="shared" si="38"/>
        <v>0</v>
      </c>
      <c r="M189" s="221">
        <f t="shared" si="39"/>
        <v>0</v>
      </c>
      <c r="N189" s="221">
        <v>0</v>
      </c>
      <c r="O189" s="221">
        <v>0</v>
      </c>
      <c r="P189" s="218" t="s">
        <v>250</v>
      </c>
      <c r="Q189" s="218">
        <v>37</v>
      </c>
      <c r="R189" s="218" t="s">
        <v>249</v>
      </c>
      <c r="AD189" s="194">
        <f t="shared" si="36"/>
        <v>0</v>
      </c>
      <c r="AF189" s="195">
        <f t="shared" si="37"/>
        <v>0</v>
      </c>
      <c r="AH189" s="184">
        <v>165</v>
      </c>
      <c r="AJ189" s="184">
        <v>0</v>
      </c>
    </row>
    <row r="190" spans="1:36" x14ac:dyDescent="0.25">
      <c r="B190" s="184" t="s">
        <v>206</v>
      </c>
      <c r="C190" s="212">
        <v>317000</v>
      </c>
      <c r="D190" s="221"/>
      <c r="E190" s="221"/>
      <c r="F190" s="221">
        <f>317000</f>
        <v>317000</v>
      </c>
      <c r="G190" s="222">
        <v>0</v>
      </c>
      <c r="H190" s="223">
        <v>0</v>
      </c>
      <c r="I190" s="221">
        <v>0</v>
      </c>
      <c r="J190" s="226">
        <v>0</v>
      </c>
      <c r="K190" s="226">
        <v>0</v>
      </c>
      <c r="L190" s="221">
        <f t="shared" si="38"/>
        <v>0</v>
      </c>
      <c r="M190" s="221">
        <f t="shared" si="39"/>
        <v>0</v>
      </c>
      <c r="N190" s="221">
        <v>0</v>
      </c>
      <c r="O190" s="221">
        <v>0</v>
      </c>
      <c r="P190" s="218" t="s">
        <v>250</v>
      </c>
      <c r="Q190" s="218">
        <v>37</v>
      </c>
      <c r="R190" s="218" t="s">
        <v>249</v>
      </c>
      <c r="AD190" s="194">
        <f t="shared" si="36"/>
        <v>0</v>
      </c>
      <c r="AF190" s="195">
        <f t="shared" si="37"/>
        <v>0</v>
      </c>
      <c r="AH190" s="184">
        <v>166</v>
      </c>
      <c r="AJ190" s="184">
        <v>0</v>
      </c>
    </row>
    <row r="191" spans="1:36" x14ac:dyDescent="0.25">
      <c r="B191" s="184" t="s">
        <v>207</v>
      </c>
      <c r="C191" s="212">
        <f>154000+400000</f>
        <v>554000</v>
      </c>
      <c r="D191" s="221"/>
      <c r="E191" s="221"/>
      <c r="F191" s="221">
        <f>182583.42+275528.65+49660.29+12202.63+34025.01</f>
        <v>554000</v>
      </c>
      <c r="G191" s="222">
        <v>0</v>
      </c>
      <c r="H191" s="223">
        <v>0</v>
      </c>
      <c r="I191" s="221">
        <v>0</v>
      </c>
      <c r="J191" s="226">
        <v>0</v>
      </c>
      <c r="K191" s="226">
        <v>0</v>
      </c>
      <c r="L191" s="221">
        <f t="shared" si="38"/>
        <v>0</v>
      </c>
      <c r="M191" s="221">
        <f t="shared" si="39"/>
        <v>0</v>
      </c>
      <c r="N191" s="221">
        <v>0</v>
      </c>
      <c r="O191" s="221">
        <v>0</v>
      </c>
      <c r="P191" s="218" t="s">
        <v>250</v>
      </c>
      <c r="Q191" s="218">
        <v>37</v>
      </c>
      <c r="R191" s="218" t="s">
        <v>249</v>
      </c>
      <c r="AA191" s="194">
        <v>46537.61</v>
      </c>
      <c r="AD191" s="194">
        <f t="shared" si="36"/>
        <v>46537.61</v>
      </c>
      <c r="AF191" s="195">
        <f t="shared" si="37"/>
        <v>0</v>
      </c>
      <c r="AH191" s="184">
        <v>167</v>
      </c>
      <c r="AJ191" s="184">
        <v>0</v>
      </c>
    </row>
    <row r="192" spans="1:36" x14ac:dyDescent="0.25">
      <c r="B192" s="184" t="s">
        <v>208</v>
      </c>
      <c r="C192" s="212">
        <f>284000+125000</f>
        <v>409000</v>
      </c>
      <c r="D192" s="221"/>
      <c r="E192" s="221"/>
      <c r="F192" s="222">
        <f>349767.69+59232.31</f>
        <v>409000</v>
      </c>
      <c r="G192" s="222">
        <v>0</v>
      </c>
      <c r="H192" s="223">
        <v>0</v>
      </c>
      <c r="I192" s="221">
        <v>0</v>
      </c>
      <c r="J192" s="226">
        <v>0</v>
      </c>
      <c r="K192" s="226">
        <v>0</v>
      </c>
      <c r="L192" s="221">
        <f t="shared" si="38"/>
        <v>0</v>
      </c>
      <c r="M192" s="221">
        <f t="shared" si="39"/>
        <v>0</v>
      </c>
      <c r="N192" s="221">
        <v>0</v>
      </c>
      <c r="O192" s="221">
        <v>0</v>
      </c>
      <c r="P192" s="218" t="s">
        <v>250</v>
      </c>
      <c r="Q192" s="218">
        <v>37</v>
      </c>
      <c r="R192" s="218" t="s">
        <v>249</v>
      </c>
      <c r="AD192" s="194">
        <f t="shared" si="36"/>
        <v>0</v>
      </c>
      <c r="AF192" s="195">
        <f t="shared" si="37"/>
        <v>0</v>
      </c>
      <c r="AH192" s="184">
        <v>168</v>
      </c>
      <c r="AJ192" s="184">
        <v>0</v>
      </c>
    </row>
    <row r="193" spans="1:36" x14ac:dyDescent="0.25">
      <c r="B193" s="184" t="s">
        <v>209</v>
      </c>
      <c r="C193" s="212">
        <f>495000+150000</f>
        <v>645000</v>
      </c>
      <c r="D193" s="221"/>
      <c r="E193" s="221"/>
      <c r="F193" s="222">
        <f>218980.88+67737+325356.07+23047.08</f>
        <v>635121.02999999991</v>
      </c>
      <c r="G193" s="222">
        <f>[1]FSU!F143</f>
        <v>9878.9700000000448</v>
      </c>
      <c r="H193" s="223">
        <f>[1]FSU!H143</f>
        <v>9878.9699999999993</v>
      </c>
      <c r="I193" s="221">
        <f>[1]FSU!I143</f>
        <v>0</v>
      </c>
      <c r="J193" s="226">
        <f>[1]FSU!J143</f>
        <v>0</v>
      </c>
      <c r="K193" s="226">
        <f>[1]FSU!K143</f>
        <v>0</v>
      </c>
      <c r="L193" s="221">
        <f t="shared" si="38"/>
        <v>4.5474735088646412E-11</v>
      </c>
      <c r="M193" s="221">
        <f t="shared" si="39"/>
        <v>0</v>
      </c>
      <c r="N193" s="221">
        <v>0</v>
      </c>
      <c r="O193" s="221">
        <v>9878.9699999999993</v>
      </c>
      <c r="P193" s="218" t="s">
        <v>250</v>
      </c>
      <c r="Q193" s="218">
        <v>37</v>
      </c>
      <c r="R193" s="218" t="s">
        <v>249</v>
      </c>
      <c r="AD193" s="194">
        <f t="shared" si="36"/>
        <v>0</v>
      </c>
      <c r="AF193" s="195">
        <f t="shared" si="37"/>
        <v>4.3655745685100555E-11</v>
      </c>
      <c r="AH193" s="184">
        <v>169</v>
      </c>
      <c r="AJ193" s="184">
        <v>9878.9699999999993</v>
      </c>
    </row>
    <row r="194" spans="1:36" x14ac:dyDescent="0.25">
      <c r="B194" s="184" t="s">
        <v>226</v>
      </c>
      <c r="C194" s="212">
        <f>100000+236000+200000</f>
        <v>536000</v>
      </c>
      <c r="D194" s="221">
        <v>0.03</v>
      </c>
      <c r="E194" s="221"/>
      <c r="F194" s="221">
        <f>51450.65+149768.64+281527.91+41350.19+11902.64</f>
        <v>536000.02999999991</v>
      </c>
      <c r="G194" s="222">
        <v>0</v>
      </c>
      <c r="H194" s="223">
        <v>0</v>
      </c>
      <c r="I194" s="221">
        <v>0</v>
      </c>
      <c r="J194" s="226">
        <v>0</v>
      </c>
      <c r="K194" s="226">
        <v>0</v>
      </c>
      <c r="L194" s="221">
        <f t="shared" si="38"/>
        <v>0</v>
      </c>
      <c r="M194" s="221">
        <f t="shared" si="39"/>
        <v>0</v>
      </c>
      <c r="N194" s="221"/>
      <c r="O194" s="221">
        <v>0</v>
      </c>
      <c r="P194" s="218" t="s">
        <v>250</v>
      </c>
      <c r="Q194" s="218">
        <v>37</v>
      </c>
      <c r="R194" s="218" t="s">
        <v>249</v>
      </c>
      <c r="AA194" s="194">
        <v>1280</v>
      </c>
      <c r="AD194" s="194">
        <f t="shared" si="36"/>
        <v>1280</v>
      </c>
      <c r="AF194" s="195">
        <f t="shared" si="37"/>
        <v>1.1641532182693481E-10</v>
      </c>
      <c r="AH194" s="184">
        <v>170</v>
      </c>
      <c r="AJ194" s="184">
        <v>0</v>
      </c>
    </row>
    <row r="195" spans="1:36" x14ac:dyDescent="0.25">
      <c r="B195" s="184" t="s">
        <v>211</v>
      </c>
      <c r="C195" s="212">
        <f>900000+250000+439000</f>
        <v>1589000</v>
      </c>
      <c r="D195" s="221"/>
      <c r="E195" s="221"/>
      <c r="F195" s="221">
        <f>621656.31+967343.69</f>
        <v>1589000</v>
      </c>
      <c r="G195" s="222">
        <f>[1]TU!F191+[1]TU!F198+[1]TU!F204</f>
        <v>0</v>
      </c>
      <c r="H195" s="223">
        <f>[1]TU!H191+[1]TU!H198+[1]TU!H204</f>
        <v>0</v>
      </c>
      <c r="I195" s="221">
        <f>[1]TU!I191+[1]TU!I198+[1]TU!I204</f>
        <v>0</v>
      </c>
      <c r="J195" s="226">
        <f>[1]TU!J191+[1]TU!J198+[1]TU!J204</f>
        <v>0</v>
      </c>
      <c r="K195" s="226">
        <f>[1]TU!K191+[1]TU!K198+[1]TU!K204</f>
        <v>0</v>
      </c>
      <c r="L195" s="221">
        <f t="shared" si="38"/>
        <v>0</v>
      </c>
      <c r="M195" s="221">
        <f t="shared" si="39"/>
        <v>0</v>
      </c>
      <c r="N195" s="221">
        <v>0</v>
      </c>
      <c r="O195" s="221">
        <v>0</v>
      </c>
      <c r="P195" s="218" t="s">
        <v>250</v>
      </c>
      <c r="Q195" s="218">
        <v>37</v>
      </c>
      <c r="R195" s="218" t="s">
        <v>249</v>
      </c>
      <c r="AA195" s="194">
        <v>620128.97</v>
      </c>
      <c r="AD195" s="194">
        <f t="shared" si="36"/>
        <v>620128.97</v>
      </c>
      <c r="AF195" s="195">
        <f t="shared" si="37"/>
        <v>0</v>
      </c>
      <c r="AH195" s="184">
        <v>171</v>
      </c>
      <c r="AJ195" s="184">
        <v>0</v>
      </c>
    </row>
    <row r="196" spans="1:36" x14ac:dyDescent="0.25">
      <c r="B196" s="184" t="s">
        <v>212</v>
      </c>
      <c r="C196" s="212">
        <v>418000</v>
      </c>
      <c r="D196" s="221"/>
      <c r="E196" s="221"/>
      <c r="F196" s="221">
        <f>17749.93+363435.12+18289.79+18525.16</f>
        <v>417999.99999999994</v>
      </c>
      <c r="G196" s="222">
        <f>[1]UB!F118</f>
        <v>0</v>
      </c>
      <c r="H196" s="223">
        <f>[1]UB!H118</f>
        <v>0</v>
      </c>
      <c r="I196" s="221">
        <f>[1]UB!I118</f>
        <v>0</v>
      </c>
      <c r="J196" s="226">
        <f>[1]UB!J118</f>
        <v>0</v>
      </c>
      <c r="K196" s="226">
        <f>[1]UB!K118</f>
        <v>0</v>
      </c>
      <c r="L196" s="221">
        <f t="shared" si="38"/>
        <v>0</v>
      </c>
      <c r="M196" s="221">
        <f t="shared" si="39"/>
        <v>0</v>
      </c>
      <c r="N196" s="221"/>
      <c r="O196" s="221">
        <v>0</v>
      </c>
      <c r="P196" s="218" t="s">
        <v>250</v>
      </c>
      <c r="Q196" s="218">
        <v>37</v>
      </c>
      <c r="R196" s="218" t="s">
        <v>249</v>
      </c>
      <c r="AA196" s="194">
        <v>14354.56</v>
      </c>
      <c r="AD196" s="194">
        <f t="shared" si="36"/>
        <v>14354.56</v>
      </c>
      <c r="AF196" s="195">
        <f t="shared" si="37"/>
        <v>5.8207660913467407E-11</v>
      </c>
      <c r="AH196" s="184">
        <v>172</v>
      </c>
      <c r="AJ196" s="184">
        <v>0</v>
      </c>
    </row>
    <row r="197" spans="1:36" x14ac:dyDescent="0.25">
      <c r="B197" s="224" t="s">
        <v>216</v>
      </c>
      <c r="C197" s="212">
        <v>463000</v>
      </c>
      <c r="D197" s="194"/>
      <c r="E197" s="221">
        <f>82000+829190.54+288809.46-100000-1200000-250000-113000</f>
        <v>-463000</v>
      </c>
      <c r="F197" s="226"/>
      <c r="G197" s="222">
        <f>'[1]Emergency Funds'!G85</f>
        <v>0</v>
      </c>
      <c r="H197" s="223"/>
      <c r="I197" s="221"/>
      <c r="J197" s="226"/>
      <c r="K197" s="226"/>
      <c r="L197" s="221"/>
      <c r="M197" s="221">
        <f t="shared" si="39"/>
        <v>0</v>
      </c>
      <c r="N197" s="221"/>
      <c r="O197" s="221"/>
      <c r="P197" s="218" t="s">
        <v>250</v>
      </c>
      <c r="Q197" s="218">
        <v>37</v>
      </c>
      <c r="R197" s="218" t="s">
        <v>249</v>
      </c>
      <c r="AD197" s="194">
        <f t="shared" si="36"/>
        <v>0</v>
      </c>
      <c r="AF197" s="195">
        <f t="shared" si="37"/>
        <v>0</v>
      </c>
      <c r="AH197" s="184">
        <v>173</v>
      </c>
    </row>
    <row r="198" spans="1:36" x14ac:dyDescent="0.25">
      <c r="B198" s="184" t="s">
        <v>266</v>
      </c>
      <c r="C198" s="225"/>
      <c r="D198" s="194"/>
      <c r="E198" s="226">
        <f>100000+1200000</f>
        <v>1300000</v>
      </c>
      <c r="F198" s="221">
        <f>610722.96+220997.45+425919.2+42360.39</f>
        <v>1299999.9999999998</v>
      </c>
      <c r="G198" s="222">
        <v>0</v>
      </c>
      <c r="H198" s="223">
        <v>0</v>
      </c>
      <c r="I198" s="221">
        <v>0</v>
      </c>
      <c r="J198" s="226">
        <v>0</v>
      </c>
      <c r="K198" s="226">
        <v>0</v>
      </c>
      <c r="L198" s="221">
        <f t="shared" si="38"/>
        <v>0</v>
      </c>
      <c r="M198" s="221">
        <f t="shared" si="39"/>
        <v>0</v>
      </c>
      <c r="N198" s="221"/>
      <c r="O198" s="221">
        <v>0</v>
      </c>
      <c r="P198" s="218" t="s">
        <v>250</v>
      </c>
      <c r="Q198" s="218">
        <v>37</v>
      </c>
      <c r="R198" s="218" t="s">
        <v>249</v>
      </c>
      <c r="AD198" s="194">
        <f t="shared" si="36"/>
        <v>0</v>
      </c>
      <c r="AF198" s="195">
        <f t="shared" si="37"/>
        <v>2.3283064365386963E-10</v>
      </c>
      <c r="AH198" s="184">
        <v>174</v>
      </c>
      <c r="AJ198" s="184">
        <v>0</v>
      </c>
    </row>
    <row r="199" spans="1:36" x14ac:dyDescent="0.25">
      <c r="B199" s="184" t="s">
        <v>245</v>
      </c>
      <c r="C199" s="225"/>
      <c r="D199" s="194"/>
      <c r="E199" s="226">
        <v>250000</v>
      </c>
      <c r="F199" s="221">
        <f>65573.85+184426.15</f>
        <v>250000</v>
      </c>
      <c r="G199" s="222">
        <f>'[1]USM &amp; COI'!G57</f>
        <v>0</v>
      </c>
      <c r="H199" s="223">
        <f>'[1]USM &amp; COI'!H57</f>
        <v>0</v>
      </c>
      <c r="I199" s="221"/>
      <c r="J199" s="226"/>
      <c r="K199" s="226">
        <f>'[1]USM &amp; COI'!K57</f>
        <v>0</v>
      </c>
      <c r="L199" s="221">
        <f>G199-H199-I199-J199-K199</f>
        <v>0</v>
      </c>
      <c r="M199" s="221">
        <f t="shared" si="39"/>
        <v>0</v>
      </c>
      <c r="N199" s="221"/>
      <c r="O199" s="221">
        <v>0</v>
      </c>
      <c r="AF199" s="195">
        <f t="shared" si="37"/>
        <v>0</v>
      </c>
      <c r="AH199" s="184">
        <v>175</v>
      </c>
      <c r="AJ199" s="184">
        <v>0</v>
      </c>
    </row>
    <row r="200" spans="1:36" x14ac:dyDescent="0.25">
      <c r="C200" s="212"/>
      <c r="D200" s="213"/>
      <c r="E200" s="213"/>
      <c r="F200" s="221"/>
      <c r="G200" s="215"/>
      <c r="H200" s="216"/>
      <c r="I200" s="213"/>
      <c r="J200" s="217"/>
      <c r="K200" s="217"/>
      <c r="L200" s="213"/>
      <c r="M200" s="213"/>
      <c r="N200" s="213"/>
      <c r="O200" s="213"/>
      <c r="AH200" s="184">
        <v>176</v>
      </c>
    </row>
    <row r="201" spans="1:36" ht="13.8" thickBot="1" x14ac:dyDescent="0.3">
      <c r="B201" s="227" t="s">
        <v>267</v>
      </c>
      <c r="C201" s="228">
        <f t="shared" ref="C201:O201" si="40">SUM(C182:C200)</f>
        <v>54500000</v>
      </c>
      <c r="D201" s="228">
        <f t="shared" si="40"/>
        <v>0.05</v>
      </c>
      <c r="E201" s="228">
        <f t="shared" si="40"/>
        <v>1087000</v>
      </c>
      <c r="F201" s="251">
        <f t="shared" si="40"/>
        <v>55487588.07</v>
      </c>
      <c r="G201" s="228">
        <f t="shared" si="40"/>
        <v>99411.980000000156</v>
      </c>
      <c r="H201" s="252">
        <f t="shared" si="40"/>
        <v>99411.98</v>
      </c>
      <c r="I201" s="228">
        <f t="shared" si="40"/>
        <v>0</v>
      </c>
      <c r="J201" s="228">
        <f t="shared" si="40"/>
        <v>0</v>
      </c>
      <c r="K201" s="228">
        <f t="shared" si="40"/>
        <v>0</v>
      </c>
      <c r="L201" s="228">
        <f t="shared" si="40"/>
        <v>1.6189005691558123E-10</v>
      </c>
      <c r="M201" s="228">
        <f t="shared" si="40"/>
        <v>0</v>
      </c>
      <c r="N201" s="228">
        <f t="shared" si="40"/>
        <v>0</v>
      </c>
      <c r="O201" s="228">
        <f t="shared" si="40"/>
        <v>99411.98</v>
      </c>
      <c r="U201" s="227" t="s">
        <v>218</v>
      </c>
      <c r="V201" s="192">
        <v>22</v>
      </c>
      <c r="AA201" s="228">
        <f>SUM(AA182:AA200)</f>
        <v>2642235.02</v>
      </c>
      <c r="AB201" s="228">
        <f>SUM(AB182:AB200)</f>
        <v>191926.88</v>
      </c>
      <c r="AC201" s="228">
        <f>SUM(AC182:AC200)</f>
        <v>0</v>
      </c>
      <c r="AD201" s="228">
        <f>SUM(AD182:AD200)</f>
        <v>2834161.9</v>
      </c>
      <c r="AF201" s="195">
        <f>C201+D201+E201-F201-G201</f>
        <v>-3.434251993894577E-9</v>
      </c>
      <c r="AH201" s="184">
        <v>177</v>
      </c>
      <c r="AJ201" s="184">
        <v>99411.98</v>
      </c>
    </row>
    <row r="202" spans="1:36" ht="13.8" thickTop="1" x14ac:dyDescent="0.25">
      <c r="C202" s="212"/>
      <c r="D202" s="213"/>
      <c r="E202" s="213"/>
      <c r="F202" s="250"/>
      <c r="G202" s="215"/>
      <c r="H202" s="216"/>
      <c r="I202" s="213"/>
      <c r="J202" s="217"/>
      <c r="K202" s="217"/>
      <c r="L202" s="213"/>
      <c r="M202" s="213"/>
      <c r="N202" s="213"/>
      <c r="O202" s="213"/>
      <c r="AH202" s="184">
        <v>178</v>
      </c>
    </row>
    <row r="203" spans="1:36" x14ac:dyDescent="0.25">
      <c r="A203" s="224" t="s">
        <v>198</v>
      </c>
      <c r="C203" s="212"/>
      <c r="D203" s="213"/>
      <c r="E203" s="213"/>
      <c r="F203" s="221"/>
      <c r="G203" s="215"/>
      <c r="H203" s="216"/>
      <c r="I203" s="215"/>
      <c r="J203" s="215"/>
      <c r="K203" s="215"/>
      <c r="L203" s="213"/>
      <c r="M203" s="213"/>
      <c r="N203" s="213"/>
      <c r="O203" s="213"/>
      <c r="T203" s="224" t="s">
        <v>198</v>
      </c>
      <c r="V203" s="192">
        <v>5</v>
      </c>
      <c r="AH203" s="184">
        <v>179</v>
      </c>
    </row>
    <row r="204" spans="1:36" hidden="1" x14ac:dyDescent="0.25">
      <c r="B204" s="184" t="s">
        <v>268</v>
      </c>
      <c r="C204" s="212">
        <v>5000000</v>
      </c>
      <c r="D204" s="213"/>
      <c r="E204" s="213"/>
      <c r="F204" s="221">
        <f>2386505.39+1680899.39+112315.64+37609.43+444747.89+15591.94+322330.32</f>
        <v>5000000.0000000009</v>
      </c>
      <c r="G204" s="231">
        <f>[1]UMCP!F191</f>
        <v>0</v>
      </c>
      <c r="H204" s="232">
        <f>[1]UMCP!H191</f>
        <v>0</v>
      </c>
      <c r="I204" s="231">
        <f>[1]UMCP!I191</f>
        <v>0</v>
      </c>
      <c r="J204" s="231">
        <f>[1]UMCP!J191</f>
        <v>0</v>
      </c>
      <c r="K204" s="231">
        <f>[1]UMCP!K191</f>
        <v>0</v>
      </c>
      <c r="L204" s="221">
        <f>G204-H204-I204-J204-K204</f>
        <v>0</v>
      </c>
      <c r="M204" s="221"/>
      <c r="N204" s="221"/>
      <c r="O204" s="221">
        <f>H202+K202</f>
        <v>0</v>
      </c>
      <c r="P204" s="218">
        <v>30</v>
      </c>
      <c r="Q204" s="218">
        <v>36</v>
      </c>
      <c r="R204" s="218" t="s">
        <v>249</v>
      </c>
      <c r="U204" s="184" t="s">
        <v>268</v>
      </c>
      <c r="V204" s="192">
        <v>6</v>
      </c>
      <c r="AB204" s="194">
        <v>19488.29</v>
      </c>
      <c r="AD204" s="194">
        <f t="shared" ref="AD204:AD220" si="41">AA204+AB204+AC204</f>
        <v>19488.29</v>
      </c>
      <c r="AH204" s="184">
        <v>180</v>
      </c>
      <c r="AJ204" s="184">
        <v>0</v>
      </c>
    </row>
    <row r="205" spans="1:36" hidden="1" x14ac:dyDescent="0.25">
      <c r="B205" s="184" t="s">
        <v>269</v>
      </c>
      <c r="C205" s="212">
        <v>10000000</v>
      </c>
      <c r="D205" s="213"/>
      <c r="E205" s="213"/>
      <c r="F205" s="221">
        <f>202050.59+8360021.99+258271.37+1179656.05</f>
        <v>10000000</v>
      </c>
      <c r="G205" s="231">
        <v>0</v>
      </c>
      <c r="H205" s="232">
        <v>0</v>
      </c>
      <c r="I205" s="231">
        <v>0</v>
      </c>
      <c r="J205" s="231">
        <v>0</v>
      </c>
      <c r="K205" s="231">
        <v>0</v>
      </c>
      <c r="L205" s="221">
        <f>G205-H205-I205-J205-K205</f>
        <v>0</v>
      </c>
      <c r="M205" s="221"/>
      <c r="N205" s="221"/>
      <c r="O205" s="221">
        <f>H203+K203</f>
        <v>0</v>
      </c>
      <c r="P205" s="218" t="s">
        <v>270</v>
      </c>
      <c r="Q205" s="218">
        <v>36</v>
      </c>
      <c r="R205" s="218" t="s">
        <v>249</v>
      </c>
      <c r="U205" s="184" t="s">
        <v>269</v>
      </c>
      <c r="V205" s="192">
        <v>7</v>
      </c>
      <c r="AA205" s="194">
        <v>1179656.05</v>
      </c>
      <c r="AD205" s="194">
        <f t="shared" si="41"/>
        <v>1179656.05</v>
      </c>
      <c r="AH205" s="184">
        <v>181</v>
      </c>
      <c r="AJ205" s="184">
        <v>0</v>
      </c>
    </row>
    <row r="206" spans="1:36" x14ac:dyDescent="0.25">
      <c r="B206" s="224" t="s">
        <v>201</v>
      </c>
      <c r="C206" s="212"/>
      <c r="D206" s="213"/>
      <c r="E206" s="213"/>
      <c r="F206" s="221"/>
      <c r="G206" s="215"/>
      <c r="H206" s="216"/>
      <c r="I206" s="215"/>
      <c r="J206" s="215"/>
      <c r="K206" s="215"/>
      <c r="L206" s="221"/>
      <c r="M206" s="221"/>
      <c r="N206" s="221"/>
      <c r="O206" s="221"/>
      <c r="U206" s="224" t="s">
        <v>201</v>
      </c>
      <c r="V206" s="192">
        <v>8</v>
      </c>
      <c r="AD206" s="194">
        <f t="shared" si="41"/>
        <v>0</v>
      </c>
      <c r="AH206" s="184">
        <v>182</v>
      </c>
    </row>
    <row r="207" spans="1:36" hidden="1" x14ac:dyDescent="0.25">
      <c r="B207" s="184" t="s">
        <v>202</v>
      </c>
      <c r="C207" s="221">
        <v>7300000</v>
      </c>
      <c r="D207" s="221"/>
      <c r="E207" s="213"/>
      <c r="F207" s="221">
        <f>7300000</f>
        <v>7300000</v>
      </c>
      <c r="G207" s="222">
        <v>0</v>
      </c>
      <c r="H207" s="223">
        <v>0</v>
      </c>
      <c r="I207" s="222">
        <v>0</v>
      </c>
      <c r="J207" s="222">
        <v>0</v>
      </c>
      <c r="K207" s="222">
        <v>0</v>
      </c>
      <c r="L207" s="221">
        <f t="shared" ref="L207:L220" si="42">G207-H207-I207-J207-K207</f>
        <v>0</v>
      </c>
      <c r="M207" s="221"/>
      <c r="N207" s="221"/>
      <c r="O207" s="221">
        <f>H205+K205</f>
        <v>0</v>
      </c>
      <c r="P207" s="218" t="s">
        <v>250</v>
      </c>
      <c r="Q207" s="218">
        <v>36</v>
      </c>
      <c r="R207" s="218" t="s">
        <v>249</v>
      </c>
      <c r="U207" s="184" t="s">
        <v>202</v>
      </c>
      <c r="V207" s="192">
        <v>9</v>
      </c>
      <c r="AD207" s="194">
        <f t="shared" si="41"/>
        <v>0</v>
      </c>
      <c r="AH207" s="184">
        <v>183</v>
      </c>
      <c r="AJ207" s="184">
        <v>0</v>
      </c>
    </row>
    <row r="208" spans="1:36" x14ac:dyDescent="0.25">
      <c r="B208" s="184" t="s">
        <v>203</v>
      </c>
      <c r="C208" s="221">
        <f>990000+990000+695000</f>
        <v>2675000</v>
      </c>
      <c r="D208" s="221"/>
      <c r="E208" s="213"/>
      <c r="F208" s="221">
        <f>17183.71+229661+131826.35+690398.91+1500831.83+2485+49881.91+26243.19+10483.21</f>
        <v>2658995.11</v>
      </c>
      <c r="G208" s="222">
        <f>[1]UMB!F248</f>
        <v>16004.889999999719</v>
      </c>
      <c r="H208" s="223">
        <f>[1]UMB!H248</f>
        <v>16004.89</v>
      </c>
      <c r="I208" s="222">
        <f>[1]UMB!I248</f>
        <v>0</v>
      </c>
      <c r="J208" s="222">
        <f>[1]UMB!J248</f>
        <v>0</v>
      </c>
      <c r="K208" s="222">
        <f>[1]UMB!K248</f>
        <v>0</v>
      </c>
      <c r="L208" s="221">
        <f t="shared" si="42"/>
        <v>-2.801243681460619E-10</v>
      </c>
      <c r="M208" s="221">
        <f t="shared" ref="M208:M217" si="43">H208-N208-O208</f>
        <v>0</v>
      </c>
      <c r="N208" s="221">
        <v>0</v>
      </c>
      <c r="O208" s="221">
        <v>16004.89</v>
      </c>
      <c r="P208" s="218" t="s">
        <v>250</v>
      </c>
      <c r="Q208" s="218">
        <v>36</v>
      </c>
      <c r="R208" s="218" t="s">
        <v>249</v>
      </c>
      <c r="U208" s="184" t="s">
        <v>203</v>
      </c>
      <c r="V208" s="192">
        <v>10</v>
      </c>
      <c r="AA208" s="194">
        <v>50892.51</v>
      </c>
      <c r="AB208" s="194">
        <v>2485</v>
      </c>
      <c r="AD208" s="194">
        <f t="shared" si="41"/>
        <v>53377.51</v>
      </c>
      <c r="AF208" s="195">
        <f t="shared" ref="AF208:AF217" si="44">C208+D208+E208-F208-G208</f>
        <v>4.1109160520136356E-10</v>
      </c>
      <c r="AH208" s="184">
        <v>184</v>
      </c>
      <c r="AJ208" s="184">
        <v>16004.89</v>
      </c>
    </row>
    <row r="209" spans="2:36" x14ac:dyDescent="0.25">
      <c r="B209" s="184" t="s">
        <v>204</v>
      </c>
      <c r="C209" s="221">
        <v>642000</v>
      </c>
      <c r="E209" s="221">
        <v>-569.73</v>
      </c>
      <c r="F209" s="221">
        <f>641430.27</f>
        <v>641430.27</v>
      </c>
      <c r="G209" s="222">
        <f>[1]UMES!F124</f>
        <v>-1.8644641386345029E-11</v>
      </c>
      <c r="H209" s="223">
        <f>[1]UMES!H124</f>
        <v>0</v>
      </c>
      <c r="I209" s="222">
        <f>[1]UMES!I124</f>
        <v>0</v>
      </c>
      <c r="J209" s="222">
        <f>[1]UMES!J124</f>
        <v>0</v>
      </c>
      <c r="K209" s="222">
        <f>[1]UMES!K124</f>
        <v>0</v>
      </c>
      <c r="L209" s="221">
        <f t="shared" si="42"/>
        <v>-1.8644641386345029E-11</v>
      </c>
      <c r="M209" s="221">
        <f t="shared" si="43"/>
        <v>0</v>
      </c>
      <c r="N209" s="221">
        <v>0</v>
      </c>
      <c r="O209" s="221">
        <f t="shared" ref="O209:O216" si="45">H209+I209+J209+K209</f>
        <v>0</v>
      </c>
      <c r="P209" s="218" t="s">
        <v>250</v>
      </c>
      <c r="Q209" s="218">
        <v>36</v>
      </c>
      <c r="R209" s="218" t="s">
        <v>249</v>
      </c>
      <c r="U209" s="184" t="s">
        <v>204</v>
      </c>
      <c r="V209" s="192">
        <v>11</v>
      </c>
      <c r="AD209" s="194">
        <f t="shared" si="41"/>
        <v>0</v>
      </c>
      <c r="AF209" s="195">
        <f t="shared" si="44"/>
        <v>1.8644641386345029E-11</v>
      </c>
      <c r="AH209" s="184">
        <v>185</v>
      </c>
      <c r="AJ209" s="184">
        <v>0</v>
      </c>
    </row>
    <row r="210" spans="2:36" x14ac:dyDescent="0.25">
      <c r="B210" s="184" t="s">
        <v>205</v>
      </c>
      <c r="C210" s="221">
        <v>1452000</v>
      </c>
      <c r="D210" s="221"/>
      <c r="E210" s="213"/>
      <c r="F210" s="221">
        <f>1352000+100000</f>
        <v>1452000</v>
      </c>
      <c r="G210" s="222">
        <v>0</v>
      </c>
      <c r="H210" s="223">
        <v>0</v>
      </c>
      <c r="I210" s="222">
        <v>0</v>
      </c>
      <c r="J210" s="222">
        <v>0</v>
      </c>
      <c r="K210" s="222">
        <v>0</v>
      </c>
      <c r="L210" s="221">
        <f t="shared" si="42"/>
        <v>0</v>
      </c>
      <c r="M210" s="221">
        <f t="shared" si="43"/>
        <v>0</v>
      </c>
      <c r="N210" s="221">
        <v>0</v>
      </c>
      <c r="O210" s="221">
        <f t="shared" si="45"/>
        <v>0</v>
      </c>
      <c r="P210" s="218" t="s">
        <v>250</v>
      </c>
      <c r="Q210" s="218">
        <v>36</v>
      </c>
      <c r="R210" s="218" t="s">
        <v>249</v>
      </c>
      <c r="U210" s="184" t="s">
        <v>205</v>
      </c>
      <c r="V210" s="192">
        <v>12</v>
      </c>
      <c r="AD210" s="194">
        <f t="shared" si="41"/>
        <v>0</v>
      </c>
      <c r="AF210" s="195">
        <f t="shared" si="44"/>
        <v>0</v>
      </c>
      <c r="AH210" s="184">
        <v>186</v>
      </c>
      <c r="AJ210" s="184">
        <v>0</v>
      </c>
    </row>
    <row r="211" spans="2:36" x14ac:dyDescent="0.25">
      <c r="B211" s="184" t="s">
        <v>206</v>
      </c>
      <c r="C211" s="221">
        <v>317000</v>
      </c>
      <c r="D211" s="221"/>
      <c r="E211" s="213"/>
      <c r="F211" s="222">
        <f>188967.76+128032.24</f>
        <v>317000</v>
      </c>
      <c r="G211" s="222">
        <v>0</v>
      </c>
      <c r="H211" s="223">
        <v>0</v>
      </c>
      <c r="I211" s="222">
        <v>0</v>
      </c>
      <c r="J211" s="222">
        <v>0</v>
      </c>
      <c r="K211" s="222">
        <v>0</v>
      </c>
      <c r="L211" s="221">
        <f t="shared" si="42"/>
        <v>0</v>
      </c>
      <c r="M211" s="221">
        <f t="shared" si="43"/>
        <v>0</v>
      </c>
      <c r="N211" s="221">
        <v>0</v>
      </c>
      <c r="O211" s="221">
        <f t="shared" si="45"/>
        <v>0</v>
      </c>
      <c r="P211" s="218" t="s">
        <v>250</v>
      </c>
      <c r="Q211" s="218">
        <v>36</v>
      </c>
      <c r="R211" s="218" t="s">
        <v>249</v>
      </c>
      <c r="U211" s="184" t="s">
        <v>206</v>
      </c>
      <c r="V211" s="192">
        <v>13</v>
      </c>
      <c r="AD211" s="194">
        <f t="shared" si="41"/>
        <v>0</v>
      </c>
      <c r="AF211" s="195">
        <f t="shared" si="44"/>
        <v>0</v>
      </c>
      <c r="AH211" s="184">
        <v>187</v>
      </c>
      <c r="AJ211" s="184">
        <v>0</v>
      </c>
    </row>
    <row r="212" spans="2:36" x14ac:dyDescent="0.25">
      <c r="B212" s="184" t="s">
        <v>207</v>
      </c>
      <c r="C212" s="221">
        <v>554000</v>
      </c>
      <c r="D212" s="221"/>
      <c r="E212" s="213"/>
      <c r="F212" s="221">
        <f>494268.28+57168.93+2562.79</f>
        <v>554000.00000000012</v>
      </c>
      <c r="G212" s="222">
        <v>0</v>
      </c>
      <c r="H212" s="223">
        <v>0</v>
      </c>
      <c r="I212" s="222">
        <v>0</v>
      </c>
      <c r="J212" s="222">
        <v>0</v>
      </c>
      <c r="K212" s="222">
        <v>0</v>
      </c>
      <c r="L212" s="221">
        <f t="shared" si="42"/>
        <v>0</v>
      </c>
      <c r="M212" s="221">
        <f t="shared" si="43"/>
        <v>0</v>
      </c>
      <c r="N212" s="221">
        <v>0</v>
      </c>
      <c r="O212" s="221">
        <f t="shared" si="45"/>
        <v>0</v>
      </c>
      <c r="P212" s="218" t="s">
        <v>250</v>
      </c>
      <c r="Q212" s="218">
        <v>36</v>
      </c>
      <c r="R212" s="218" t="s">
        <v>249</v>
      </c>
      <c r="U212" s="184" t="s">
        <v>207</v>
      </c>
      <c r="V212" s="192">
        <v>14</v>
      </c>
      <c r="AD212" s="194">
        <f t="shared" si="41"/>
        <v>0</v>
      </c>
      <c r="AF212" s="195">
        <f t="shared" si="44"/>
        <v>-1.1641532182693481E-10</v>
      </c>
      <c r="AH212" s="184">
        <v>188</v>
      </c>
      <c r="AJ212" s="184">
        <v>0</v>
      </c>
    </row>
    <row r="213" spans="2:36" x14ac:dyDescent="0.25">
      <c r="B213" s="184" t="s">
        <v>208</v>
      </c>
      <c r="C213" s="221">
        <f>284000+125000</f>
        <v>409000</v>
      </c>
      <c r="D213" s="226">
        <f>8568.82+8657.18</f>
        <v>17226</v>
      </c>
      <c r="E213" s="213"/>
      <c r="F213" s="226">
        <f>333494.01+10775.25+81956.74</f>
        <v>426226</v>
      </c>
      <c r="G213" s="222">
        <v>0</v>
      </c>
      <c r="H213" s="223">
        <v>0</v>
      </c>
      <c r="I213" s="222">
        <v>0</v>
      </c>
      <c r="J213" s="222">
        <v>0</v>
      </c>
      <c r="K213" s="222">
        <v>0</v>
      </c>
      <c r="L213" s="221">
        <f t="shared" si="42"/>
        <v>0</v>
      </c>
      <c r="M213" s="221">
        <f t="shared" si="43"/>
        <v>0</v>
      </c>
      <c r="N213" s="221">
        <v>0</v>
      </c>
      <c r="O213" s="221">
        <f t="shared" si="45"/>
        <v>0</v>
      </c>
      <c r="P213" s="218" t="s">
        <v>250</v>
      </c>
      <c r="Q213" s="218">
        <v>36</v>
      </c>
      <c r="R213" s="218" t="s">
        <v>249</v>
      </c>
      <c r="U213" s="184" t="s">
        <v>208</v>
      </c>
      <c r="V213" s="192">
        <v>15</v>
      </c>
      <c r="AD213" s="194">
        <f t="shared" si="41"/>
        <v>0</v>
      </c>
      <c r="AF213" s="195">
        <f t="shared" si="44"/>
        <v>0</v>
      </c>
      <c r="AH213" s="184">
        <v>189</v>
      </c>
      <c r="AJ213" s="184">
        <v>0</v>
      </c>
    </row>
    <row r="214" spans="2:36" x14ac:dyDescent="0.25">
      <c r="B214" s="184" t="s">
        <v>209</v>
      </c>
      <c r="C214" s="221">
        <f>450000+195000</f>
        <v>645000</v>
      </c>
      <c r="D214" s="221"/>
      <c r="E214" s="213"/>
      <c r="F214" s="221">
        <f>34127.16+527404.43+3750+79718.41</f>
        <v>645000.00000000012</v>
      </c>
      <c r="G214" s="222">
        <v>0</v>
      </c>
      <c r="H214" s="223">
        <v>0</v>
      </c>
      <c r="I214" s="222">
        <v>0</v>
      </c>
      <c r="J214" s="222">
        <v>0</v>
      </c>
      <c r="K214" s="222">
        <v>0</v>
      </c>
      <c r="L214" s="221">
        <f t="shared" si="42"/>
        <v>0</v>
      </c>
      <c r="M214" s="221">
        <f t="shared" si="43"/>
        <v>0</v>
      </c>
      <c r="N214" s="221">
        <v>0</v>
      </c>
      <c r="O214" s="221">
        <f t="shared" si="45"/>
        <v>0</v>
      </c>
      <c r="P214" s="218" t="s">
        <v>250</v>
      </c>
      <c r="Q214" s="218">
        <v>36</v>
      </c>
      <c r="R214" s="218" t="s">
        <v>249</v>
      </c>
      <c r="U214" s="184" t="s">
        <v>209</v>
      </c>
      <c r="V214" s="192">
        <v>16</v>
      </c>
      <c r="AA214" s="194">
        <v>3750</v>
      </c>
      <c r="AD214" s="194">
        <f t="shared" si="41"/>
        <v>3750</v>
      </c>
      <c r="AF214" s="195">
        <f t="shared" si="44"/>
        <v>-1.1641532182693481E-10</v>
      </c>
      <c r="AH214" s="184">
        <v>190</v>
      </c>
      <c r="AJ214" s="184">
        <v>0</v>
      </c>
    </row>
    <row r="215" spans="2:36" x14ac:dyDescent="0.25">
      <c r="B215" s="184" t="s">
        <v>226</v>
      </c>
      <c r="C215" s="221">
        <f>300000+236000</f>
        <v>536000</v>
      </c>
      <c r="D215" s="221"/>
      <c r="E215" s="213"/>
      <c r="F215" s="221">
        <f>201126.68+334873.32</f>
        <v>536000</v>
      </c>
      <c r="G215" s="222">
        <v>0</v>
      </c>
      <c r="H215" s="223">
        <v>0</v>
      </c>
      <c r="I215" s="222">
        <v>0</v>
      </c>
      <c r="J215" s="222">
        <v>0</v>
      </c>
      <c r="K215" s="222">
        <v>0</v>
      </c>
      <c r="L215" s="221">
        <f t="shared" si="42"/>
        <v>0</v>
      </c>
      <c r="M215" s="221">
        <f t="shared" si="43"/>
        <v>0</v>
      </c>
      <c r="N215" s="221">
        <v>0</v>
      </c>
      <c r="O215" s="221">
        <f t="shared" si="45"/>
        <v>0</v>
      </c>
      <c r="P215" s="218" t="s">
        <v>250</v>
      </c>
      <c r="Q215" s="218">
        <v>36</v>
      </c>
      <c r="R215" s="218" t="s">
        <v>249</v>
      </c>
      <c r="U215" s="184" t="s">
        <v>226</v>
      </c>
      <c r="V215" s="192">
        <v>17</v>
      </c>
      <c r="AD215" s="194">
        <f t="shared" si="41"/>
        <v>0</v>
      </c>
      <c r="AF215" s="195">
        <f t="shared" si="44"/>
        <v>0</v>
      </c>
      <c r="AH215" s="184">
        <v>191</v>
      </c>
      <c r="AJ215" s="184">
        <v>0</v>
      </c>
    </row>
    <row r="216" spans="2:36" x14ac:dyDescent="0.25">
      <c r="B216" s="184" t="s">
        <v>211</v>
      </c>
      <c r="C216" s="221">
        <f>550000+550000+489000</f>
        <v>1589000</v>
      </c>
      <c r="D216" s="221"/>
      <c r="E216" s="213"/>
      <c r="F216" s="221">
        <f>84859.81+1340943.35+53861.98+4809.95+104524.91</f>
        <v>1589000</v>
      </c>
      <c r="G216" s="222">
        <f>[1]TU!F212+[1]TU!F226+[1]TU!F234</f>
        <v>0</v>
      </c>
      <c r="H216" s="223">
        <f>[1]TU!H212+[1]TU!H226+[1]TU!H234</f>
        <v>0</v>
      </c>
      <c r="I216" s="222">
        <f>[1]TU!I212+[1]TU!I226+[1]TU!I234</f>
        <v>0</v>
      </c>
      <c r="J216" s="222">
        <f>[1]TU!J212+[1]TU!J226+[1]TU!J234</f>
        <v>0</v>
      </c>
      <c r="K216" s="222">
        <f>[1]TU!K212+[1]TU!K226+[1]TU!K234</f>
        <v>0</v>
      </c>
      <c r="L216" s="221">
        <f t="shared" si="42"/>
        <v>0</v>
      </c>
      <c r="M216" s="221">
        <f t="shared" si="43"/>
        <v>0</v>
      </c>
      <c r="N216" s="221">
        <v>0</v>
      </c>
      <c r="O216" s="221">
        <f t="shared" si="45"/>
        <v>0</v>
      </c>
      <c r="P216" s="218" t="s">
        <v>250</v>
      </c>
      <c r="Q216" s="218">
        <v>36</v>
      </c>
      <c r="R216" s="218" t="s">
        <v>249</v>
      </c>
      <c r="U216" s="184" t="s">
        <v>211</v>
      </c>
      <c r="V216" s="192">
        <v>18</v>
      </c>
      <c r="AA216" s="194">
        <v>39654.730000000003</v>
      </c>
      <c r="AD216" s="194">
        <f t="shared" si="41"/>
        <v>39654.730000000003</v>
      </c>
      <c r="AF216" s="195">
        <f t="shared" si="44"/>
        <v>0</v>
      </c>
      <c r="AH216" s="184">
        <v>192</v>
      </c>
      <c r="AJ216" s="184">
        <v>0</v>
      </c>
    </row>
    <row r="217" spans="2:36" x14ac:dyDescent="0.25">
      <c r="B217" s="184" t="s">
        <v>212</v>
      </c>
      <c r="C217" s="212">
        <v>418000</v>
      </c>
      <c r="D217" s="213"/>
      <c r="E217" s="213"/>
      <c r="F217" s="221">
        <f>290213.4+1733.06+7974.04+47924.96+45244+22388.85</f>
        <v>415478.31</v>
      </c>
      <c r="G217" s="222">
        <f>[1]UB!F129</f>
        <v>2521.6900000000387</v>
      </c>
      <c r="H217" s="223">
        <f>[1]UB!H129</f>
        <v>0</v>
      </c>
      <c r="I217" s="222">
        <f>[1]UB!I129</f>
        <v>0</v>
      </c>
      <c r="J217" s="222">
        <f>[1]UB!J129</f>
        <v>0</v>
      </c>
      <c r="K217" s="222">
        <f>[1]UB!K129</f>
        <v>0</v>
      </c>
      <c r="L217" s="221">
        <f t="shared" si="42"/>
        <v>2521.6900000000387</v>
      </c>
      <c r="M217" s="221">
        <f t="shared" si="43"/>
        <v>0</v>
      </c>
      <c r="N217" s="221">
        <v>0</v>
      </c>
      <c r="O217" s="221">
        <v>0</v>
      </c>
      <c r="P217" s="218" t="s">
        <v>250</v>
      </c>
      <c r="Q217" s="218">
        <v>36</v>
      </c>
      <c r="R217" s="218" t="s">
        <v>249</v>
      </c>
      <c r="U217" s="184" t="s">
        <v>212</v>
      </c>
      <c r="V217" s="192">
        <v>19</v>
      </c>
      <c r="AD217" s="194">
        <f t="shared" si="41"/>
        <v>0</v>
      </c>
      <c r="AF217" s="195">
        <f t="shared" si="44"/>
        <v>-3.637978807091713E-11</v>
      </c>
      <c r="AH217" s="184">
        <v>193</v>
      </c>
      <c r="AJ217" s="184">
        <v>0</v>
      </c>
    </row>
    <row r="218" spans="2:36" hidden="1" x14ac:dyDescent="0.25">
      <c r="B218" s="224" t="s">
        <v>216</v>
      </c>
      <c r="C218" s="212">
        <v>463000</v>
      </c>
      <c r="D218" s="221"/>
      <c r="E218" s="221">
        <f>-200000-125000-100000-38000</f>
        <v>-463000</v>
      </c>
      <c r="F218" s="221"/>
      <c r="G218" s="222">
        <f>'[1]Emergency Funds'!G93</f>
        <v>0</v>
      </c>
      <c r="H218" s="223"/>
      <c r="I218" s="222"/>
      <c r="J218" s="222"/>
      <c r="K218" s="222"/>
      <c r="L218" s="221"/>
      <c r="M218" s="221"/>
      <c r="N218" s="221"/>
      <c r="O218" s="221"/>
      <c r="P218" s="218" t="s">
        <v>250</v>
      </c>
      <c r="Q218" s="218">
        <v>36</v>
      </c>
      <c r="R218" s="218" t="s">
        <v>249</v>
      </c>
      <c r="U218" s="224" t="s">
        <v>216</v>
      </c>
      <c r="V218" s="192">
        <v>20</v>
      </c>
      <c r="AD218" s="194">
        <f t="shared" si="41"/>
        <v>0</v>
      </c>
      <c r="AH218" s="184">
        <v>194</v>
      </c>
    </row>
    <row r="219" spans="2:36" hidden="1" x14ac:dyDescent="0.25">
      <c r="B219" s="184" t="s">
        <v>271</v>
      </c>
      <c r="C219" s="212"/>
      <c r="D219" s="221"/>
      <c r="E219" s="221">
        <v>200000</v>
      </c>
      <c r="F219" s="222">
        <f>12000+175073.75+12926.25</f>
        <v>200000</v>
      </c>
      <c r="G219" s="222">
        <v>0</v>
      </c>
      <c r="H219" s="223">
        <v>0</v>
      </c>
      <c r="I219" s="222">
        <v>0</v>
      </c>
      <c r="J219" s="222">
        <v>0</v>
      </c>
      <c r="K219" s="222">
        <v>0</v>
      </c>
      <c r="L219" s="221">
        <f t="shared" si="42"/>
        <v>0</v>
      </c>
      <c r="M219" s="221"/>
      <c r="N219" s="221"/>
      <c r="O219" s="221">
        <f>H217+K217</f>
        <v>0</v>
      </c>
      <c r="P219" s="218" t="s">
        <v>250</v>
      </c>
      <c r="Q219" s="218">
        <v>36</v>
      </c>
      <c r="R219" s="218" t="s">
        <v>249</v>
      </c>
      <c r="U219" s="224"/>
      <c r="AD219" s="194">
        <f t="shared" si="41"/>
        <v>0</v>
      </c>
      <c r="AH219" s="184">
        <v>195</v>
      </c>
      <c r="AJ219" s="184">
        <v>0</v>
      </c>
    </row>
    <row r="220" spans="2:36" hidden="1" x14ac:dyDescent="0.25">
      <c r="B220" s="184" t="s">
        <v>272</v>
      </c>
      <c r="C220" s="212"/>
      <c r="D220" s="221"/>
      <c r="E220" s="221">
        <v>125000</v>
      </c>
      <c r="F220" s="221">
        <f>10428.44+114387.04+184.52</f>
        <v>125000</v>
      </c>
      <c r="G220" s="222">
        <v>0</v>
      </c>
      <c r="H220" s="223">
        <v>0</v>
      </c>
      <c r="I220" s="222">
        <v>0</v>
      </c>
      <c r="J220" s="222">
        <v>0</v>
      </c>
      <c r="K220" s="222">
        <v>0</v>
      </c>
      <c r="L220" s="221">
        <f t="shared" si="42"/>
        <v>0</v>
      </c>
      <c r="M220" s="221"/>
      <c r="N220" s="221"/>
      <c r="O220" s="221">
        <f>H218+K218</f>
        <v>0</v>
      </c>
      <c r="P220" s="218" t="s">
        <v>250</v>
      </c>
      <c r="Q220" s="218">
        <v>36</v>
      </c>
      <c r="R220" s="218" t="s">
        <v>249</v>
      </c>
      <c r="U220" s="224"/>
      <c r="AA220" s="194">
        <v>109948.04</v>
      </c>
      <c r="AD220" s="194">
        <f t="shared" si="41"/>
        <v>109948.04</v>
      </c>
      <c r="AH220" s="184">
        <v>196</v>
      </c>
      <c r="AJ220" s="184">
        <v>0</v>
      </c>
    </row>
    <row r="221" spans="2:36" hidden="1" x14ac:dyDescent="0.25">
      <c r="B221" s="184" t="s">
        <v>273</v>
      </c>
      <c r="C221" s="212"/>
      <c r="D221" s="221"/>
      <c r="E221" s="221">
        <f>100000</f>
        <v>100000</v>
      </c>
      <c r="F221" s="221">
        <f>17814.81+82185.19</f>
        <v>100000</v>
      </c>
      <c r="G221" s="222">
        <f>[1]UMCP!F15</f>
        <v>0</v>
      </c>
      <c r="H221" s="223">
        <f>[1]UMCP!H15</f>
        <v>0</v>
      </c>
      <c r="I221" s="222">
        <v>0</v>
      </c>
      <c r="J221" s="222">
        <v>0</v>
      </c>
      <c r="K221" s="222">
        <f>[1]UMCP!K15</f>
        <v>0</v>
      </c>
      <c r="L221" s="221">
        <f>G221-H221-I221-J221-K221</f>
        <v>0</v>
      </c>
      <c r="M221" s="221"/>
      <c r="N221" s="221"/>
      <c r="O221" s="221">
        <f>H219+K219</f>
        <v>0</v>
      </c>
      <c r="U221" s="224"/>
      <c r="AH221" s="184">
        <v>197</v>
      </c>
      <c r="AJ221" s="184">
        <v>0</v>
      </c>
    </row>
    <row r="222" spans="2:36" x14ac:dyDescent="0.25">
      <c r="C222" s="212"/>
      <c r="D222" s="213"/>
      <c r="E222" s="213"/>
      <c r="F222" s="221"/>
      <c r="G222" s="215"/>
      <c r="H222" s="216"/>
      <c r="I222" s="215"/>
      <c r="J222" s="215"/>
      <c r="K222" s="215"/>
      <c r="L222" s="213"/>
      <c r="M222" s="213"/>
      <c r="N222" s="213"/>
      <c r="O222" s="213"/>
      <c r="V222" s="192">
        <v>21</v>
      </c>
      <c r="AH222" s="184">
        <v>198</v>
      </c>
    </row>
    <row r="223" spans="2:36" ht="13.8" thickBot="1" x14ac:dyDescent="0.3">
      <c r="B223" s="227" t="s">
        <v>218</v>
      </c>
      <c r="C223" s="228">
        <f t="shared" ref="C223:O223" si="46">SUM(C204:C222)</f>
        <v>32000000</v>
      </c>
      <c r="D223" s="228">
        <f t="shared" si="46"/>
        <v>17226</v>
      </c>
      <c r="E223" s="228">
        <f t="shared" si="46"/>
        <v>-38569.729999999981</v>
      </c>
      <c r="F223" s="251">
        <f t="shared" si="46"/>
        <v>31960129.689999998</v>
      </c>
      <c r="G223" s="228">
        <f t="shared" si="46"/>
        <v>18526.57999999974</v>
      </c>
      <c r="H223" s="252">
        <f>SUM(H204:H222)</f>
        <v>16004.89</v>
      </c>
      <c r="I223" s="228">
        <f t="shared" si="46"/>
        <v>0</v>
      </c>
      <c r="J223" s="228">
        <f t="shared" si="46"/>
        <v>0</v>
      </c>
      <c r="K223" s="228">
        <f t="shared" si="46"/>
        <v>0</v>
      </c>
      <c r="L223" s="228">
        <f t="shared" si="46"/>
        <v>2521.6899999997399</v>
      </c>
      <c r="M223" s="228">
        <f t="shared" si="46"/>
        <v>0</v>
      </c>
      <c r="N223" s="228">
        <f t="shared" si="46"/>
        <v>0</v>
      </c>
      <c r="O223" s="228">
        <f t="shared" si="46"/>
        <v>16004.89</v>
      </c>
      <c r="U223" s="227" t="s">
        <v>218</v>
      </c>
      <c r="V223" s="192">
        <v>22</v>
      </c>
      <c r="AA223" s="228">
        <f>SUM(AA204:AA222)</f>
        <v>1383901.33</v>
      </c>
      <c r="AB223" s="228">
        <f>SUM(AB204:AB222)</f>
        <v>21973.29</v>
      </c>
      <c r="AC223" s="228">
        <f>SUM(AC204:AC222)</f>
        <v>0</v>
      </c>
      <c r="AD223" s="228">
        <f>SUM(AD204:AD222)</f>
        <v>1405874.62</v>
      </c>
      <c r="AF223" s="195">
        <f>C223+D223+E223-F223-G223</f>
        <v>2.1973391994833946E-9</v>
      </c>
      <c r="AH223" s="184">
        <v>199</v>
      </c>
      <c r="AJ223" s="184">
        <v>16004.89</v>
      </c>
    </row>
    <row r="224" spans="2:36" ht="13.8" thickTop="1" x14ac:dyDescent="0.25">
      <c r="C224" s="212"/>
      <c r="D224" s="213"/>
      <c r="E224" s="213"/>
      <c r="F224" s="250"/>
      <c r="G224" s="231"/>
      <c r="H224" s="232"/>
      <c r="I224" s="231"/>
      <c r="J224" s="231"/>
      <c r="K224" s="231"/>
      <c r="L224" s="221"/>
      <c r="M224" s="221"/>
      <c r="N224" s="221"/>
      <c r="O224" s="221"/>
      <c r="AH224" s="184">
        <v>200</v>
      </c>
    </row>
    <row r="225" spans="1:36" x14ac:dyDescent="0.25">
      <c r="A225" s="224" t="s">
        <v>274</v>
      </c>
      <c r="C225" s="212"/>
      <c r="D225" s="213"/>
      <c r="E225" s="213"/>
      <c r="F225" s="221"/>
      <c r="G225" s="215"/>
      <c r="H225" s="216"/>
      <c r="I225" s="215"/>
      <c r="J225" s="215"/>
      <c r="K225" s="215"/>
      <c r="L225" s="213"/>
      <c r="M225" s="213"/>
      <c r="N225" s="213"/>
      <c r="O225" s="213"/>
      <c r="T225" s="224" t="s">
        <v>274</v>
      </c>
      <c r="V225" s="192">
        <v>5</v>
      </c>
      <c r="AH225" s="184">
        <v>201</v>
      </c>
    </row>
    <row r="226" spans="1:36" hidden="1" x14ac:dyDescent="0.25">
      <c r="B226" s="184" t="s">
        <v>268</v>
      </c>
      <c r="C226" s="212">
        <v>5000000</v>
      </c>
      <c r="D226" s="213"/>
      <c r="E226" s="213"/>
      <c r="F226" s="221">
        <f>3529+2923550.04+105092+1082695.32+267467.11+355792.93+261873.6</f>
        <v>5000000</v>
      </c>
      <c r="G226" s="231">
        <v>0</v>
      </c>
      <c r="H226" s="232">
        <v>0</v>
      </c>
      <c r="I226" s="231">
        <v>0</v>
      </c>
      <c r="J226" s="231">
        <v>0</v>
      </c>
      <c r="K226" s="231">
        <v>0</v>
      </c>
      <c r="L226" s="221">
        <f>G226-H226-I226-J226-K226</f>
        <v>0</v>
      </c>
      <c r="M226" s="221"/>
      <c r="N226" s="221"/>
      <c r="O226" s="221">
        <f>H226+I226+J226+K226</f>
        <v>0</v>
      </c>
      <c r="P226" s="218">
        <v>30</v>
      </c>
      <c r="Q226" s="218">
        <v>35</v>
      </c>
      <c r="R226" s="218" t="s">
        <v>249</v>
      </c>
      <c r="U226" s="184" t="s">
        <v>268</v>
      </c>
      <c r="V226" s="192">
        <v>6</v>
      </c>
      <c r="AB226" s="194">
        <v>250014.83</v>
      </c>
      <c r="AD226" s="194">
        <f t="shared" ref="AD226:AD241" si="47">AA226+AB226+AC226</f>
        <v>250014.83</v>
      </c>
      <c r="AH226" s="184">
        <v>202</v>
      </c>
      <c r="AJ226" s="184">
        <v>0</v>
      </c>
    </row>
    <row r="227" spans="1:36" hidden="1" x14ac:dyDescent="0.25">
      <c r="B227" s="184" t="s">
        <v>275</v>
      </c>
      <c r="C227" s="212">
        <v>10000000</v>
      </c>
      <c r="D227" s="213"/>
      <c r="E227" s="213"/>
      <c r="F227" s="221">
        <f>9969803.99+30196.01</f>
        <v>10000000</v>
      </c>
      <c r="G227" s="231">
        <v>0</v>
      </c>
      <c r="H227" s="232">
        <v>0</v>
      </c>
      <c r="I227" s="231">
        <v>0</v>
      </c>
      <c r="J227" s="231">
        <v>0</v>
      </c>
      <c r="K227" s="231">
        <v>0</v>
      </c>
      <c r="L227" s="221">
        <f>G227-H227-I227-J227-K227</f>
        <v>0</v>
      </c>
      <c r="M227" s="221"/>
      <c r="N227" s="221"/>
      <c r="O227" s="221">
        <f>H227+I227+J227+K227</f>
        <v>0</v>
      </c>
      <c r="P227" s="218">
        <v>143.19999999999999</v>
      </c>
      <c r="Q227" s="218">
        <v>35</v>
      </c>
      <c r="R227" s="218" t="s">
        <v>249</v>
      </c>
      <c r="U227" s="184" t="s">
        <v>275</v>
      </c>
      <c r="V227" s="192">
        <v>7</v>
      </c>
      <c r="AD227" s="194">
        <f t="shared" si="47"/>
        <v>0</v>
      </c>
      <c r="AH227" s="184">
        <v>203</v>
      </c>
      <c r="AJ227" s="184">
        <v>0</v>
      </c>
    </row>
    <row r="228" spans="1:36" x14ac:dyDescent="0.25">
      <c r="B228" s="224" t="s">
        <v>201</v>
      </c>
      <c r="C228" s="212"/>
      <c r="D228" s="213"/>
      <c r="E228" s="213"/>
      <c r="F228" s="221"/>
      <c r="G228" s="215"/>
      <c r="H228" s="216"/>
      <c r="I228" s="215"/>
      <c r="J228" s="215"/>
      <c r="K228" s="215"/>
      <c r="L228" s="221"/>
      <c r="M228" s="221"/>
      <c r="N228" s="221"/>
      <c r="O228" s="221"/>
      <c r="U228" s="224" t="s">
        <v>201</v>
      </c>
      <c r="V228" s="192">
        <v>8</v>
      </c>
      <c r="AH228" s="184">
        <v>204</v>
      </c>
    </row>
    <row r="229" spans="1:36" hidden="1" x14ac:dyDescent="0.25">
      <c r="B229" s="184" t="s">
        <v>202</v>
      </c>
      <c r="C229" s="221">
        <v>7300000</v>
      </c>
      <c r="D229" s="221"/>
      <c r="E229" s="221"/>
      <c r="F229" s="221">
        <f>1854333.16+428252.37+5017414.47</f>
        <v>7300000</v>
      </c>
      <c r="G229" s="222">
        <v>0</v>
      </c>
      <c r="H229" s="223">
        <v>0</v>
      </c>
      <c r="I229" s="222">
        <v>0</v>
      </c>
      <c r="J229" s="222">
        <v>0</v>
      </c>
      <c r="K229" s="222">
        <v>0</v>
      </c>
      <c r="L229" s="221">
        <f t="shared" ref="L229:L241" si="48">G229-H229-I229-J229-K229</f>
        <v>0</v>
      </c>
      <c r="M229" s="221"/>
      <c r="N229" s="221"/>
      <c r="O229" s="221">
        <f>H229+I229+J229+K229</f>
        <v>0</v>
      </c>
      <c r="P229" s="218" t="s">
        <v>250</v>
      </c>
      <c r="Q229" s="218">
        <v>35</v>
      </c>
      <c r="R229" s="218" t="s">
        <v>249</v>
      </c>
      <c r="U229" s="184" t="s">
        <v>202</v>
      </c>
      <c r="V229" s="192">
        <v>9</v>
      </c>
      <c r="AD229" s="194">
        <f t="shared" si="47"/>
        <v>0</v>
      </c>
      <c r="AH229" s="184">
        <v>205</v>
      </c>
      <c r="AJ229" s="184">
        <v>0</v>
      </c>
    </row>
    <row r="230" spans="1:36" x14ac:dyDescent="0.25">
      <c r="B230" s="184" t="s">
        <v>203</v>
      </c>
      <c r="C230" s="221">
        <v>2675000</v>
      </c>
      <c r="D230" s="221"/>
      <c r="E230" s="221"/>
      <c r="F230" s="221">
        <f>27961.56+248653.58+1461944.86+27572.65+761929.36+1092+70720.87+9695.05+87.36</f>
        <v>2609657.2899999996</v>
      </c>
      <c r="G230" s="222">
        <f>[1]UMB!F266</f>
        <v>65342.709999999992</v>
      </c>
      <c r="H230" s="223">
        <f>[1]UMB!H266</f>
        <v>65342.71</v>
      </c>
      <c r="I230" s="222">
        <f>[1]UMB!I266</f>
        <v>0</v>
      </c>
      <c r="J230" s="222">
        <f>[1]UMB!J266</f>
        <v>0</v>
      </c>
      <c r="K230" s="222">
        <f>[1]UMB!K266</f>
        <v>0</v>
      </c>
      <c r="L230" s="221">
        <f t="shared" si="48"/>
        <v>-7.2759576141834259E-12</v>
      </c>
      <c r="M230" s="221">
        <f>H230-N230-O230</f>
        <v>0</v>
      </c>
      <c r="N230" s="221">
        <v>0</v>
      </c>
      <c r="O230" s="221">
        <v>65342.71</v>
      </c>
      <c r="P230" s="218" t="s">
        <v>250</v>
      </c>
      <c r="Q230" s="218">
        <v>35</v>
      </c>
      <c r="R230" s="218" t="s">
        <v>249</v>
      </c>
      <c r="U230" s="184" t="s">
        <v>203</v>
      </c>
      <c r="V230" s="192">
        <v>10</v>
      </c>
      <c r="AA230" s="194">
        <v>394859.91</v>
      </c>
      <c r="AB230" s="194">
        <v>1092</v>
      </c>
      <c r="AD230" s="194">
        <f t="shared" si="47"/>
        <v>395951.91</v>
      </c>
      <c r="AF230" s="195">
        <f t="shared" ref="AF230:AF241" si="49">C230+D230+E230-F230-G230</f>
        <v>4.3655745685100555E-10</v>
      </c>
      <c r="AH230" s="184">
        <v>206</v>
      </c>
      <c r="AJ230" s="184">
        <v>65342.71</v>
      </c>
    </row>
    <row r="231" spans="1:36" hidden="1" x14ac:dyDescent="0.25">
      <c r="B231" s="184" t="s">
        <v>204</v>
      </c>
      <c r="C231" s="221">
        <v>642000</v>
      </c>
      <c r="D231" s="221"/>
      <c r="E231" s="221"/>
      <c r="F231" s="222">
        <f>265235.37+376764.63</f>
        <v>642000</v>
      </c>
      <c r="G231" s="222">
        <v>0</v>
      </c>
      <c r="H231" s="223">
        <v>0</v>
      </c>
      <c r="I231" s="222">
        <v>0</v>
      </c>
      <c r="J231" s="222">
        <v>0</v>
      </c>
      <c r="K231" s="222">
        <v>0</v>
      </c>
      <c r="L231" s="221">
        <f t="shared" si="48"/>
        <v>0</v>
      </c>
      <c r="M231" s="221"/>
      <c r="N231" s="221">
        <v>0</v>
      </c>
      <c r="O231" s="221">
        <f t="shared" ref="O231:O239" si="50">H231+I231+J231+K231</f>
        <v>0</v>
      </c>
      <c r="P231" s="218" t="s">
        <v>250</v>
      </c>
      <c r="Q231" s="218">
        <v>35</v>
      </c>
      <c r="R231" s="218" t="s">
        <v>249</v>
      </c>
      <c r="U231" s="184" t="s">
        <v>204</v>
      </c>
      <c r="V231" s="192">
        <v>11</v>
      </c>
      <c r="AD231" s="194">
        <f t="shared" si="47"/>
        <v>0</v>
      </c>
      <c r="AF231" s="195">
        <f t="shared" si="49"/>
        <v>0</v>
      </c>
      <c r="AH231" s="184">
        <v>207</v>
      </c>
      <c r="AJ231" s="184">
        <v>0</v>
      </c>
    </row>
    <row r="232" spans="1:36" hidden="1" x14ac:dyDescent="0.25">
      <c r="B232" s="184" t="s">
        <v>205</v>
      </c>
      <c r="C232" s="221">
        <v>1452000</v>
      </c>
      <c r="D232" s="221"/>
      <c r="E232" s="221"/>
      <c r="F232" s="221">
        <f>75040.75+1319734.01+38257.4+18967.84</f>
        <v>1452000</v>
      </c>
      <c r="G232" s="222">
        <v>0</v>
      </c>
      <c r="H232" s="223">
        <v>0</v>
      </c>
      <c r="I232" s="222">
        <v>0</v>
      </c>
      <c r="J232" s="222">
        <v>0</v>
      </c>
      <c r="K232" s="222">
        <v>0</v>
      </c>
      <c r="L232" s="221">
        <f t="shared" si="48"/>
        <v>0</v>
      </c>
      <c r="M232" s="221"/>
      <c r="N232" s="221">
        <v>0</v>
      </c>
      <c r="O232" s="221">
        <f t="shared" si="50"/>
        <v>0</v>
      </c>
      <c r="P232" s="218" t="s">
        <v>250</v>
      </c>
      <c r="Q232" s="218">
        <v>35</v>
      </c>
      <c r="R232" s="218" t="s">
        <v>249</v>
      </c>
      <c r="U232" s="184" t="s">
        <v>205</v>
      </c>
      <c r="V232" s="192">
        <v>12</v>
      </c>
      <c r="AA232" s="194">
        <v>18967.84</v>
      </c>
      <c r="AD232" s="194">
        <f t="shared" si="47"/>
        <v>18967.84</v>
      </c>
      <c r="AF232" s="195">
        <f t="shared" si="49"/>
        <v>0</v>
      </c>
      <c r="AH232" s="184">
        <v>208</v>
      </c>
      <c r="AJ232" s="184">
        <v>0</v>
      </c>
    </row>
    <row r="233" spans="1:36" hidden="1" x14ac:dyDescent="0.25">
      <c r="B233" s="184" t="s">
        <v>206</v>
      </c>
      <c r="C233" s="221">
        <v>317000</v>
      </c>
      <c r="D233" s="221"/>
      <c r="E233" s="221"/>
      <c r="F233" s="221">
        <f>317000</f>
        <v>317000</v>
      </c>
      <c r="G233" s="222">
        <v>0</v>
      </c>
      <c r="H233" s="223">
        <v>0</v>
      </c>
      <c r="I233" s="222">
        <v>0</v>
      </c>
      <c r="J233" s="222">
        <v>0</v>
      </c>
      <c r="K233" s="222">
        <v>0</v>
      </c>
      <c r="L233" s="221">
        <f t="shared" si="48"/>
        <v>0</v>
      </c>
      <c r="M233" s="221"/>
      <c r="N233" s="221">
        <v>0</v>
      </c>
      <c r="O233" s="221">
        <f t="shared" si="50"/>
        <v>0</v>
      </c>
      <c r="P233" s="218" t="s">
        <v>250</v>
      </c>
      <c r="Q233" s="218">
        <v>35</v>
      </c>
      <c r="R233" s="218" t="s">
        <v>249</v>
      </c>
      <c r="U233" s="184" t="s">
        <v>206</v>
      </c>
      <c r="V233" s="192">
        <v>13</v>
      </c>
      <c r="AD233" s="194">
        <f t="shared" si="47"/>
        <v>0</v>
      </c>
      <c r="AF233" s="195">
        <f t="shared" si="49"/>
        <v>0</v>
      </c>
      <c r="AH233" s="184">
        <v>209</v>
      </c>
      <c r="AJ233" s="184">
        <v>0</v>
      </c>
    </row>
    <row r="234" spans="1:36" hidden="1" x14ac:dyDescent="0.25">
      <c r="B234" s="184" t="s">
        <v>207</v>
      </c>
      <c r="C234" s="221">
        <v>554000</v>
      </c>
      <c r="D234" s="221"/>
      <c r="E234" s="221"/>
      <c r="F234" s="221">
        <f>14006.5+9101+530000+892.5</f>
        <v>554000</v>
      </c>
      <c r="G234" s="222">
        <v>0</v>
      </c>
      <c r="H234" s="223">
        <v>0</v>
      </c>
      <c r="I234" s="222">
        <v>0</v>
      </c>
      <c r="J234" s="222">
        <v>0</v>
      </c>
      <c r="K234" s="222">
        <v>0</v>
      </c>
      <c r="L234" s="221">
        <f t="shared" si="48"/>
        <v>0</v>
      </c>
      <c r="M234" s="221"/>
      <c r="N234" s="221">
        <v>0</v>
      </c>
      <c r="O234" s="221">
        <f t="shared" si="50"/>
        <v>0</v>
      </c>
      <c r="P234" s="218" t="s">
        <v>250</v>
      </c>
      <c r="Q234" s="218">
        <v>35</v>
      </c>
      <c r="R234" s="218" t="s">
        <v>249</v>
      </c>
      <c r="U234" s="184" t="s">
        <v>207</v>
      </c>
      <c r="V234" s="192">
        <v>14</v>
      </c>
      <c r="AD234" s="194">
        <f t="shared" si="47"/>
        <v>0</v>
      </c>
      <c r="AF234" s="195">
        <f t="shared" si="49"/>
        <v>0</v>
      </c>
      <c r="AH234" s="184">
        <v>210</v>
      </c>
      <c r="AJ234" s="184">
        <v>0</v>
      </c>
    </row>
    <row r="235" spans="1:36" hidden="1" x14ac:dyDescent="0.25">
      <c r="B235" s="184" t="s">
        <v>208</v>
      </c>
      <c r="C235" s="221">
        <v>409000</v>
      </c>
      <c r="D235" s="100">
        <v>-8657.18</v>
      </c>
      <c r="E235" s="221"/>
      <c r="F235" s="226">
        <f>400342.82</f>
        <v>400342.82</v>
      </c>
      <c r="G235" s="222">
        <v>0</v>
      </c>
      <c r="H235" s="223">
        <v>0</v>
      </c>
      <c r="I235" s="222">
        <v>0</v>
      </c>
      <c r="J235" s="222">
        <v>0</v>
      </c>
      <c r="K235" s="222">
        <v>0</v>
      </c>
      <c r="L235" s="221">
        <f t="shared" si="48"/>
        <v>0</v>
      </c>
      <c r="M235" s="221"/>
      <c r="N235" s="221">
        <v>0</v>
      </c>
      <c r="O235" s="221">
        <f t="shared" si="50"/>
        <v>0</v>
      </c>
      <c r="P235" s="218" t="s">
        <v>250</v>
      </c>
      <c r="Q235" s="218">
        <v>35</v>
      </c>
      <c r="R235" s="218" t="s">
        <v>249</v>
      </c>
      <c r="U235" s="184" t="s">
        <v>208</v>
      </c>
      <c r="V235" s="192">
        <v>15</v>
      </c>
      <c r="AD235" s="194">
        <f t="shared" si="47"/>
        <v>0</v>
      </c>
      <c r="AF235" s="195">
        <f t="shared" si="49"/>
        <v>0</v>
      </c>
      <c r="AH235" s="184">
        <v>211</v>
      </c>
      <c r="AJ235" s="184">
        <v>0</v>
      </c>
    </row>
    <row r="236" spans="1:36" hidden="1" x14ac:dyDescent="0.25">
      <c r="B236" s="184" t="s">
        <v>209</v>
      </c>
      <c r="C236" s="221">
        <v>645000</v>
      </c>
      <c r="D236" s="221"/>
      <c r="E236" s="221"/>
      <c r="F236" s="221">
        <f>94801.54+119529.13+19228.26+323200+6410.7+81830.37</f>
        <v>644999.99999999988</v>
      </c>
      <c r="G236" s="222">
        <v>0</v>
      </c>
      <c r="H236" s="223">
        <v>0</v>
      </c>
      <c r="I236" s="222">
        <v>0</v>
      </c>
      <c r="J236" s="222">
        <v>0</v>
      </c>
      <c r="K236" s="222">
        <v>0</v>
      </c>
      <c r="L236" s="221">
        <f t="shared" si="48"/>
        <v>0</v>
      </c>
      <c r="M236" s="221"/>
      <c r="N236" s="221">
        <v>0</v>
      </c>
      <c r="O236" s="221">
        <f t="shared" si="50"/>
        <v>0</v>
      </c>
      <c r="P236" s="218" t="s">
        <v>250</v>
      </c>
      <c r="Q236" s="218">
        <v>35</v>
      </c>
      <c r="R236" s="218" t="s">
        <v>249</v>
      </c>
      <c r="U236" s="184" t="s">
        <v>209</v>
      </c>
      <c r="V236" s="192">
        <v>16</v>
      </c>
      <c r="AA236" s="194">
        <v>5600</v>
      </c>
      <c r="AD236" s="194">
        <f t="shared" si="47"/>
        <v>5600</v>
      </c>
      <c r="AF236" s="195">
        <f t="shared" si="49"/>
        <v>1.1641532182693481E-10</v>
      </c>
      <c r="AH236" s="184">
        <v>212</v>
      </c>
      <c r="AJ236" s="184">
        <v>0</v>
      </c>
    </row>
    <row r="237" spans="1:36" hidden="1" x14ac:dyDescent="0.25">
      <c r="B237" s="184" t="s">
        <v>226</v>
      </c>
      <c r="C237" s="221">
        <v>536000</v>
      </c>
      <c r="D237" s="221">
        <v>-0.03</v>
      </c>
      <c r="E237" s="221"/>
      <c r="F237" s="221">
        <f>459882.47+76117.5</f>
        <v>535999.97</v>
      </c>
      <c r="G237" s="222">
        <v>0</v>
      </c>
      <c r="H237" s="223">
        <v>0</v>
      </c>
      <c r="I237" s="222">
        <v>0</v>
      </c>
      <c r="J237" s="222">
        <v>0</v>
      </c>
      <c r="K237" s="222">
        <v>0</v>
      </c>
      <c r="L237" s="221">
        <f t="shared" si="48"/>
        <v>0</v>
      </c>
      <c r="M237" s="221"/>
      <c r="N237" s="221">
        <v>0</v>
      </c>
      <c r="O237" s="221">
        <f t="shared" si="50"/>
        <v>0</v>
      </c>
      <c r="P237" s="218" t="s">
        <v>250</v>
      </c>
      <c r="Q237" s="218">
        <v>35</v>
      </c>
      <c r="R237" s="218" t="s">
        <v>249</v>
      </c>
      <c r="U237" s="184" t="s">
        <v>226</v>
      </c>
      <c r="V237" s="192">
        <v>17</v>
      </c>
      <c r="AD237" s="194">
        <f t="shared" si="47"/>
        <v>0</v>
      </c>
      <c r="AF237" s="195">
        <f t="shared" si="49"/>
        <v>0</v>
      </c>
      <c r="AH237" s="184">
        <v>213</v>
      </c>
      <c r="AJ237" s="184">
        <v>0</v>
      </c>
    </row>
    <row r="238" spans="1:36" hidden="1" x14ac:dyDescent="0.25">
      <c r="B238" s="184" t="s">
        <v>211</v>
      </c>
      <c r="C238" s="221">
        <v>1589000</v>
      </c>
      <c r="D238" s="221"/>
      <c r="E238" s="221"/>
      <c r="F238" s="221">
        <f>1297648.93+14449.5+4900+272001.57</f>
        <v>1589000</v>
      </c>
      <c r="G238" s="222">
        <v>0</v>
      </c>
      <c r="H238" s="223">
        <v>0</v>
      </c>
      <c r="I238" s="222">
        <v>0</v>
      </c>
      <c r="J238" s="222">
        <v>0</v>
      </c>
      <c r="K238" s="222">
        <v>0</v>
      </c>
      <c r="L238" s="221">
        <f t="shared" si="48"/>
        <v>0</v>
      </c>
      <c r="M238" s="221"/>
      <c r="N238" s="221">
        <v>0</v>
      </c>
      <c r="O238" s="221">
        <f t="shared" si="50"/>
        <v>0</v>
      </c>
      <c r="P238" s="218" t="s">
        <v>250</v>
      </c>
      <c r="Q238" s="218">
        <v>35</v>
      </c>
      <c r="R238" s="218" t="s">
        <v>249</v>
      </c>
      <c r="U238" s="184" t="s">
        <v>211</v>
      </c>
      <c r="V238" s="192">
        <v>18</v>
      </c>
      <c r="AD238" s="194">
        <f t="shared" si="47"/>
        <v>0</v>
      </c>
      <c r="AF238" s="195">
        <f t="shared" si="49"/>
        <v>0</v>
      </c>
      <c r="AH238" s="184">
        <v>214</v>
      </c>
      <c r="AJ238" s="184">
        <v>0</v>
      </c>
    </row>
    <row r="239" spans="1:36" hidden="1" x14ac:dyDescent="0.25">
      <c r="B239" s="184" t="s">
        <v>212</v>
      </c>
      <c r="C239" s="212">
        <v>418000</v>
      </c>
      <c r="D239" s="221">
        <v>-67674.259999999995</v>
      </c>
      <c r="E239" s="213"/>
      <c r="F239" s="221">
        <f>133766.84+186228.72+14900+15430.18</f>
        <v>350325.74</v>
      </c>
      <c r="G239" s="222">
        <v>0</v>
      </c>
      <c r="H239" s="223">
        <v>0</v>
      </c>
      <c r="I239" s="222">
        <v>0</v>
      </c>
      <c r="J239" s="222">
        <v>0</v>
      </c>
      <c r="K239" s="222">
        <v>0</v>
      </c>
      <c r="L239" s="221">
        <f t="shared" si="48"/>
        <v>0</v>
      </c>
      <c r="M239" s="221"/>
      <c r="N239" s="221">
        <v>0</v>
      </c>
      <c r="O239" s="221">
        <f t="shared" si="50"/>
        <v>0</v>
      </c>
      <c r="P239" s="218" t="s">
        <v>250</v>
      </c>
      <c r="Q239" s="218">
        <v>35</v>
      </c>
      <c r="R239" s="218" t="s">
        <v>249</v>
      </c>
      <c r="U239" s="184" t="s">
        <v>212</v>
      </c>
      <c r="V239" s="192">
        <v>19</v>
      </c>
      <c r="AA239" s="194">
        <v>15430.18</v>
      </c>
      <c r="AD239" s="194">
        <f t="shared" si="47"/>
        <v>15430.18</v>
      </c>
      <c r="AF239" s="195">
        <f t="shared" si="49"/>
        <v>0</v>
      </c>
      <c r="AH239" s="184">
        <v>215</v>
      </c>
      <c r="AJ239" s="184">
        <v>0</v>
      </c>
    </row>
    <row r="240" spans="1:36" x14ac:dyDescent="0.25">
      <c r="B240" s="224" t="s">
        <v>216</v>
      </c>
      <c r="C240" s="212">
        <v>463000</v>
      </c>
      <c r="E240" s="100">
        <f>24627.14-80000-288809.46-75000-43817.68</f>
        <v>-463000</v>
      </c>
      <c r="F240" s="221">
        <f>'[1]Emergency Funds'!G102</f>
        <v>0</v>
      </c>
      <c r="G240" s="222">
        <f>'[1]Emergency Funds'!G102</f>
        <v>0</v>
      </c>
      <c r="H240" s="223"/>
      <c r="I240" s="222"/>
      <c r="J240" s="222"/>
      <c r="K240" s="222"/>
      <c r="L240" s="221"/>
      <c r="M240" s="221">
        <f>H240-N240-O240</f>
        <v>0</v>
      </c>
      <c r="N240" s="221"/>
      <c r="O240" s="221"/>
      <c r="P240" s="218" t="s">
        <v>250</v>
      </c>
      <c r="Q240" s="218">
        <v>35</v>
      </c>
      <c r="R240" s="218" t="s">
        <v>249</v>
      </c>
      <c r="U240" s="224" t="s">
        <v>216</v>
      </c>
      <c r="V240" s="192">
        <v>20</v>
      </c>
      <c r="AF240" s="195">
        <f t="shared" si="49"/>
        <v>0</v>
      </c>
      <c r="AH240" s="184">
        <v>216</v>
      </c>
    </row>
    <row r="241" spans="1:36" x14ac:dyDescent="0.25">
      <c r="B241" s="184" t="s">
        <v>276</v>
      </c>
      <c r="C241" s="212"/>
      <c r="D241" s="185">
        <v>-63620.75</v>
      </c>
      <c r="E241" s="100">
        <f>75000</f>
        <v>75000</v>
      </c>
      <c r="F241" s="221">
        <f>11379.25</f>
        <v>11379.25</v>
      </c>
      <c r="G241" s="222">
        <f>[1]UMES!F10</f>
        <v>0</v>
      </c>
      <c r="H241" s="223">
        <f>[1]UMES!H10</f>
        <v>0</v>
      </c>
      <c r="I241" s="222">
        <f>[1]UMES!I10</f>
        <v>0</v>
      </c>
      <c r="J241" s="222">
        <f>[1]UMES!J10</f>
        <v>0</v>
      </c>
      <c r="K241" s="222">
        <f>[1]UMES!K10</f>
        <v>0</v>
      </c>
      <c r="L241" s="221">
        <f t="shared" si="48"/>
        <v>0</v>
      </c>
      <c r="M241" s="221">
        <f>H241-N241-O241</f>
        <v>0</v>
      </c>
      <c r="N241" s="221">
        <v>0</v>
      </c>
      <c r="O241" s="221">
        <v>0</v>
      </c>
      <c r="P241" s="218" t="s">
        <v>250</v>
      </c>
      <c r="Q241" s="218">
        <v>35</v>
      </c>
      <c r="R241" s="218" t="s">
        <v>249</v>
      </c>
      <c r="U241" s="224"/>
      <c r="AD241" s="194">
        <f t="shared" si="47"/>
        <v>0</v>
      </c>
      <c r="AF241" s="195">
        <f t="shared" si="49"/>
        <v>0</v>
      </c>
      <c r="AH241" s="184">
        <v>217</v>
      </c>
      <c r="AJ241" s="184">
        <v>0</v>
      </c>
    </row>
    <row r="242" spans="1:36" x14ac:dyDescent="0.25">
      <c r="C242" s="212"/>
      <c r="D242" s="213"/>
      <c r="E242" s="213"/>
      <c r="F242" s="221"/>
      <c r="G242" s="215"/>
      <c r="H242" s="216"/>
      <c r="I242" s="215"/>
      <c r="J242" s="215"/>
      <c r="K242" s="215"/>
      <c r="L242" s="213"/>
      <c r="M242" s="213"/>
      <c r="N242" s="213"/>
      <c r="O242" s="213"/>
      <c r="V242" s="192">
        <v>21</v>
      </c>
      <c r="AH242" s="184">
        <v>218</v>
      </c>
    </row>
    <row r="243" spans="1:36" ht="13.8" thickBot="1" x14ac:dyDescent="0.3">
      <c r="B243" s="227" t="s">
        <v>277</v>
      </c>
      <c r="C243" s="228">
        <f t="shared" ref="C243:O243" si="51">SUM(C226:C242)</f>
        <v>32000000</v>
      </c>
      <c r="D243" s="228">
        <f t="shared" si="51"/>
        <v>-139952.22</v>
      </c>
      <c r="E243" s="228">
        <f t="shared" si="51"/>
        <v>-388000</v>
      </c>
      <c r="F243" s="251">
        <f t="shared" si="51"/>
        <v>31406705.069999997</v>
      </c>
      <c r="G243" s="228">
        <f t="shared" si="51"/>
        <v>65342.709999999992</v>
      </c>
      <c r="H243" s="252">
        <f t="shared" si="51"/>
        <v>65342.71</v>
      </c>
      <c r="I243" s="228">
        <f t="shared" si="51"/>
        <v>0</v>
      </c>
      <c r="J243" s="228">
        <f t="shared" si="51"/>
        <v>0</v>
      </c>
      <c r="K243" s="228">
        <f t="shared" si="51"/>
        <v>0</v>
      </c>
      <c r="L243" s="228">
        <f t="shared" si="51"/>
        <v>-7.2759576141834259E-12</v>
      </c>
      <c r="M243" s="228">
        <f t="shared" si="51"/>
        <v>0</v>
      </c>
      <c r="N243" s="228">
        <f t="shared" si="51"/>
        <v>0</v>
      </c>
      <c r="O243" s="228">
        <f t="shared" si="51"/>
        <v>65342.71</v>
      </c>
      <c r="U243" s="227" t="s">
        <v>277</v>
      </c>
      <c r="V243" s="192">
        <v>22</v>
      </c>
      <c r="AA243" s="228">
        <f>SUM(AA226:AA242)</f>
        <v>434857.93</v>
      </c>
      <c r="AB243" s="228">
        <f>SUM(AB226:AB242)</f>
        <v>251106.83</v>
      </c>
      <c r="AC243" s="228">
        <f>SUM(AC226:AC242)</f>
        <v>0</v>
      </c>
      <c r="AD243" s="228">
        <f>SUM(AD226:AD242)</f>
        <v>685964.76</v>
      </c>
      <c r="AF243" s="195">
        <f>C243+D243+E243-F243-G243</f>
        <v>4.6275090426206589E-9</v>
      </c>
      <c r="AH243" s="184">
        <v>219</v>
      </c>
      <c r="AJ243" s="184">
        <v>65342.71</v>
      </c>
    </row>
    <row r="244" spans="1:36" ht="13.8" thickTop="1" x14ac:dyDescent="0.25">
      <c r="B244" s="224"/>
      <c r="C244" s="212"/>
      <c r="D244" s="212"/>
      <c r="E244" s="212"/>
      <c r="F244" s="250"/>
      <c r="G244" s="212"/>
      <c r="H244" s="225"/>
      <c r="I244" s="212"/>
      <c r="J244" s="212"/>
      <c r="K244" s="212"/>
      <c r="L244" s="212"/>
      <c r="M244" s="212"/>
      <c r="N244" s="212"/>
      <c r="O244" s="212"/>
      <c r="U244" s="224"/>
      <c r="V244" s="192">
        <v>23</v>
      </c>
      <c r="AH244" s="184">
        <v>220</v>
      </c>
    </row>
    <row r="245" spans="1:36" x14ac:dyDescent="0.25">
      <c r="A245" s="224" t="s">
        <v>278</v>
      </c>
      <c r="C245" s="212"/>
      <c r="D245" s="213"/>
      <c r="E245" s="213"/>
      <c r="F245" s="221"/>
      <c r="G245" s="215"/>
      <c r="H245" s="216"/>
      <c r="I245" s="215"/>
      <c r="J245" s="215"/>
      <c r="K245" s="215"/>
      <c r="L245" s="213"/>
      <c r="M245" s="213"/>
      <c r="N245" s="213"/>
      <c r="O245" s="213"/>
      <c r="T245" s="224" t="s">
        <v>278</v>
      </c>
      <c r="V245" s="192">
        <v>24</v>
      </c>
      <c r="AH245" s="184">
        <v>221</v>
      </c>
    </row>
    <row r="246" spans="1:36" x14ac:dyDescent="0.25">
      <c r="B246" s="184" t="s">
        <v>279</v>
      </c>
      <c r="C246" s="212">
        <v>5000000</v>
      </c>
      <c r="D246" s="213"/>
      <c r="E246" s="213"/>
      <c r="F246" s="221">
        <f>2778210.96+92729.25+1551217.53+577842.26</f>
        <v>5000000</v>
      </c>
      <c r="G246" s="231">
        <v>0</v>
      </c>
      <c r="H246" s="232">
        <v>0</v>
      </c>
      <c r="I246" s="231">
        <v>0</v>
      </c>
      <c r="J246" s="231">
        <v>0</v>
      </c>
      <c r="K246" s="231">
        <v>0</v>
      </c>
      <c r="L246" s="221">
        <f>G246-H246-I246-J246-K246</f>
        <v>0</v>
      </c>
      <c r="M246" s="221">
        <f>H246-N246-O246</f>
        <v>0</v>
      </c>
      <c r="N246" s="221">
        <v>0</v>
      </c>
      <c r="O246" s="221">
        <v>0</v>
      </c>
      <c r="P246" s="218">
        <v>29</v>
      </c>
      <c r="Q246" s="218">
        <v>34</v>
      </c>
      <c r="R246" s="218" t="s">
        <v>249</v>
      </c>
      <c r="U246" s="184" t="s">
        <v>279</v>
      </c>
      <c r="V246" s="192">
        <v>25</v>
      </c>
      <c r="AF246" s="195">
        <f t="shared" ref="AF246:AF260" si="52">C246+D246+E246-F246-G246</f>
        <v>0</v>
      </c>
      <c r="AH246" s="184">
        <v>222</v>
      </c>
      <c r="AJ246" s="184">
        <v>0</v>
      </c>
    </row>
    <row r="247" spans="1:36" x14ac:dyDescent="0.25">
      <c r="B247" s="184" t="s">
        <v>280</v>
      </c>
      <c r="C247" s="212">
        <v>463000</v>
      </c>
      <c r="D247" s="221"/>
      <c r="E247" s="213"/>
      <c r="F247" s="221">
        <f>378155.03+84844.97</f>
        <v>463000</v>
      </c>
      <c r="G247" s="231">
        <v>0</v>
      </c>
      <c r="H247" s="232">
        <v>0</v>
      </c>
      <c r="I247" s="231"/>
      <c r="J247" s="231">
        <v>0</v>
      </c>
      <c r="K247" s="231">
        <v>0</v>
      </c>
      <c r="L247" s="221">
        <f>G247-H247-I247-J247-K247</f>
        <v>0</v>
      </c>
      <c r="M247" s="221">
        <f>H247-N247-O247</f>
        <v>0</v>
      </c>
      <c r="N247" s="221">
        <v>0</v>
      </c>
      <c r="O247" s="221">
        <v>0</v>
      </c>
      <c r="P247" s="218" t="s">
        <v>270</v>
      </c>
      <c r="Q247" s="218">
        <v>34</v>
      </c>
      <c r="R247" s="218" t="s">
        <v>249</v>
      </c>
      <c r="U247" s="184" t="s">
        <v>280</v>
      </c>
      <c r="V247" s="192">
        <v>26</v>
      </c>
      <c r="AF247" s="195">
        <f t="shared" si="52"/>
        <v>0</v>
      </c>
      <c r="AH247" s="184">
        <v>223</v>
      </c>
      <c r="AJ247" s="184">
        <v>0</v>
      </c>
    </row>
    <row r="248" spans="1:36" x14ac:dyDescent="0.25">
      <c r="B248" s="184" t="s">
        <v>275</v>
      </c>
      <c r="C248" s="212">
        <v>10000000</v>
      </c>
      <c r="D248" s="221">
        <v>-91469.57</v>
      </c>
      <c r="E248" s="213"/>
      <c r="F248" s="221">
        <f>9859707.89+30276.49+18546.05</f>
        <v>9908530.4300000016</v>
      </c>
      <c r="G248" s="231">
        <v>0</v>
      </c>
      <c r="H248" s="232">
        <v>0</v>
      </c>
      <c r="I248" s="231"/>
      <c r="J248" s="231">
        <v>0</v>
      </c>
      <c r="K248" s="231">
        <v>0</v>
      </c>
      <c r="L248" s="221">
        <f>G248-H248-I248-J248-K248</f>
        <v>0</v>
      </c>
      <c r="M248" s="221">
        <f>H248-N248-O248</f>
        <v>0</v>
      </c>
      <c r="N248" s="221">
        <v>0</v>
      </c>
      <c r="O248" s="221">
        <v>0</v>
      </c>
      <c r="P248" s="218">
        <v>143.1</v>
      </c>
      <c r="Q248" s="218">
        <v>34</v>
      </c>
      <c r="R248" s="218" t="s">
        <v>249</v>
      </c>
      <c r="U248" s="184" t="s">
        <v>275</v>
      </c>
      <c r="V248" s="192">
        <v>27</v>
      </c>
      <c r="AA248" s="194">
        <v>18546.05</v>
      </c>
      <c r="AD248" s="194">
        <f t="shared" ref="AD248:AD259" si="53">AA248+AB248+AC248</f>
        <v>18546.05</v>
      </c>
      <c r="AF248" s="195">
        <f t="shared" si="52"/>
        <v>-1.862645149230957E-9</v>
      </c>
      <c r="AH248" s="184">
        <v>224</v>
      </c>
      <c r="AJ248" s="184">
        <v>0</v>
      </c>
    </row>
    <row r="249" spans="1:36" x14ac:dyDescent="0.25">
      <c r="B249" s="224" t="s">
        <v>201</v>
      </c>
      <c r="C249" s="212"/>
      <c r="D249" s="213"/>
      <c r="E249" s="213"/>
      <c r="F249" s="221"/>
      <c r="G249" s="215"/>
      <c r="H249" s="216"/>
      <c r="I249" s="215"/>
      <c r="J249" s="215"/>
      <c r="K249" s="215"/>
      <c r="L249" s="213"/>
      <c r="M249" s="213"/>
      <c r="N249" s="221"/>
      <c r="O249" s="221"/>
      <c r="U249" s="224" t="s">
        <v>201</v>
      </c>
      <c r="V249" s="192">
        <v>28</v>
      </c>
      <c r="AD249" s="194">
        <f t="shared" si="53"/>
        <v>0</v>
      </c>
      <c r="AF249" s="195">
        <f t="shared" si="52"/>
        <v>0</v>
      </c>
      <c r="AH249" s="184">
        <v>225</v>
      </c>
    </row>
    <row r="250" spans="1:36" x14ac:dyDescent="0.25">
      <c r="B250" s="184" t="s">
        <v>202</v>
      </c>
      <c r="C250" s="221">
        <v>7300000</v>
      </c>
      <c r="D250" s="221"/>
      <c r="E250" s="221"/>
      <c r="F250" s="221">
        <f>420527.44+1130610.57+5748861.99</f>
        <v>7300000</v>
      </c>
      <c r="G250" s="222">
        <v>0</v>
      </c>
      <c r="H250" s="223">
        <v>0</v>
      </c>
      <c r="I250" s="222">
        <v>0</v>
      </c>
      <c r="J250" s="222">
        <v>0</v>
      </c>
      <c r="K250" s="222">
        <v>0</v>
      </c>
      <c r="L250" s="221">
        <f>G250-H250-I250-J250</f>
        <v>0</v>
      </c>
      <c r="M250" s="221">
        <f t="shared" ref="M250:M260" si="54">H250-N250-O250</f>
        <v>0</v>
      </c>
      <c r="N250" s="221">
        <v>0</v>
      </c>
      <c r="O250" s="221">
        <v>0</v>
      </c>
      <c r="P250" s="218" t="s">
        <v>250</v>
      </c>
      <c r="Q250" s="218">
        <v>34</v>
      </c>
      <c r="R250" s="218" t="s">
        <v>249</v>
      </c>
      <c r="U250" s="184" t="s">
        <v>202</v>
      </c>
      <c r="V250" s="192">
        <v>29</v>
      </c>
      <c r="AD250" s="194">
        <f t="shared" si="53"/>
        <v>0</v>
      </c>
      <c r="AF250" s="195">
        <f t="shared" si="52"/>
        <v>0</v>
      </c>
      <c r="AH250" s="184">
        <v>226</v>
      </c>
      <c r="AJ250" s="184">
        <v>0</v>
      </c>
    </row>
    <row r="251" spans="1:36" x14ac:dyDescent="0.25">
      <c r="B251" s="184" t="s">
        <v>203</v>
      </c>
      <c r="C251" s="221">
        <v>2675000</v>
      </c>
      <c r="D251" s="221"/>
      <c r="E251" s="221"/>
      <c r="F251" s="221">
        <f>48636+4536+17500+238254.32+2127983.58+59368.09+25549.05+3465+18478.54+40801.13+2590.32</f>
        <v>2587162.0299999993</v>
      </c>
      <c r="G251" s="222">
        <f>[1]UMB!F289</f>
        <v>87837.970000000059</v>
      </c>
      <c r="H251" s="223">
        <f>[1]UMB!H289</f>
        <v>87837.97</v>
      </c>
      <c r="I251" s="222">
        <f>[1]UMB!I289</f>
        <v>0</v>
      </c>
      <c r="J251" s="222">
        <f>[1]UMB!J289</f>
        <v>0</v>
      </c>
      <c r="K251" s="222">
        <f>[1]UMB!K289</f>
        <v>0</v>
      </c>
      <c r="L251" s="221">
        <f t="shared" ref="L251:L260" si="55">G251-H251-I251-J251-K251</f>
        <v>5.8207660913467407E-11</v>
      </c>
      <c r="M251" s="221">
        <f t="shared" si="54"/>
        <v>0</v>
      </c>
      <c r="N251" s="221">
        <v>0</v>
      </c>
      <c r="O251" s="221">
        <v>87837.97</v>
      </c>
      <c r="P251" s="218" t="s">
        <v>250</v>
      </c>
      <c r="Q251" s="218">
        <v>34</v>
      </c>
      <c r="R251" s="218" t="s">
        <v>249</v>
      </c>
      <c r="U251" s="184" t="s">
        <v>203</v>
      </c>
      <c r="V251" s="192">
        <v>30</v>
      </c>
      <c r="AA251" s="194">
        <v>18149.05</v>
      </c>
      <c r="AB251" s="194">
        <v>3465</v>
      </c>
      <c r="AD251" s="194">
        <f t="shared" si="53"/>
        <v>21614.05</v>
      </c>
      <c r="AF251" s="195">
        <f t="shared" si="52"/>
        <v>6.1118043959140778E-10</v>
      </c>
      <c r="AH251" s="184">
        <v>227</v>
      </c>
      <c r="AJ251" s="184">
        <v>87837.97</v>
      </c>
    </row>
    <row r="252" spans="1:36" x14ac:dyDescent="0.25">
      <c r="B252" s="184" t="s">
        <v>204</v>
      </c>
      <c r="C252" s="221">
        <v>642000</v>
      </c>
      <c r="D252" s="221"/>
      <c r="E252" s="221"/>
      <c r="F252" s="222">
        <v>642000.00000000012</v>
      </c>
      <c r="G252" s="222">
        <v>0</v>
      </c>
      <c r="H252" s="223">
        <v>0</v>
      </c>
      <c r="I252" s="222">
        <v>0</v>
      </c>
      <c r="J252" s="222">
        <v>0</v>
      </c>
      <c r="K252" s="222">
        <v>0</v>
      </c>
      <c r="L252" s="221">
        <f t="shared" si="55"/>
        <v>0</v>
      </c>
      <c r="M252" s="221">
        <f t="shared" si="54"/>
        <v>0</v>
      </c>
      <c r="N252" s="221">
        <v>0</v>
      </c>
      <c r="O252" s="221">
        <v>0</v>
      </c>
      <c r="P252" s="218" t="s">
        <v>250</v>
      </c>
      <c r="Q252" s="218">
        <v>34</v>
      </c>
      <c r="R252" s="218" t="s">
        <v>249</v>
      </c>
      <c r="U252" s="184" t="s">
        <v>204</v>
      </c>
      <c r="V252" s="192">
        <v>31</v>
      </c>
      <c r="AA252" s="194">
        <v>50634.99</v>
      </c>
      <c r="AD252" s="194">
        <f t="shared" si="53"/>
        <v>50634.99</v>
      </c>
      <c r="AF252" s="195">
        <f t="shared" si="52"/>
        <v>-1.1641532182693481E-10</v>
      </c>
      <c r="AH252" s="184">
        <v>228</v>
      </c>
      <c r="AJ252" s="184">
        <v>0</v>
      </c>
    </row>
    <row r="253" spans="1:36" x14ac:dyDescent="0.25">
      <c r="B253" s="184" t="s">
        <v>205</v>
      </c>
      <c r="C253" s="221">
        <v>1452000</v>
      </c>
      <c r="D253" s="221"/>
      <c r="E253" s="221"/>
      <c r="F253" s="221">
        <f>9700+211037.97+1162738.9+68523.13</f>
        <v>1452000</v>
      </c>
      <c r="G253" s="222">
        <v>0</v>
      </c>
      <c r="H253" s="223">
        <v>0</v>
      </c>
      <c r="I253" s="222"/>
      <c r="J253" s="222">
        <v>0</v>
      </c>
      <c r="K253" s="222">
        <v>0</v>
      </c>
      <c r="L253" s="221">
        <f t="shared" si="55"/>
        <v>0</v>
      </c>
      <c r="M253" s="221">
        <f t="shared" si="54"/>
        <v>0</v>
      </c>
      <c r="N253" s="221">
        <v>0</v>
      </c>
      <c r="O253" s="221">
        <v>0</v>
      </c>
      <c r="P253" s="218" t="s">
        <v>250</v>
      </c>
      <c r="Q253" s="218">
        <v>34</v>
      </c>
      <c r="R253" s="218" t="s">
        <v>249</v>
      </c>
      <c r="U253" s="184" t="s">
        <v>205</v>
      </c>
      <c r="V253" s="192">
        <v>32</v>
      </c>
      <c r="AD253" s="194">
        <f t="shared" si="53"/>
        <v>0</v>
      </c>
      <c r="AF253" s="195">
        <f t="shared" si="52"/>
        <v>0</v>
      </c>
      <c r="AH253" s="184">
        <v>229</v>
      </c>
      <c r="AJ253" s="184">
        <v>0</v>
      </c>
    </row>
    <row r="254" spans="1:36" x14ac:dyDescent="0.25">
      <c r="B254" s="184" t="s">
        <v>206</v>
      </c>
      <c r="C254" s="221">
        <v>317000</v>
      </c>
      <c r="E254" s="226">
        <v>-194040.47</v>
      </c>
      <c r="F254" s="226">
        <f>74674+44032.8+4252.73</f>
        <v>122959.53</v>
      </c>
      <c r="G254" s="222">
        <v>0</v>
      </c>
      <c r="H254" s="223">
        <v>0</v>
      </c>
      <c r="I254" s="222"/>
      <c r="J254" s="222">
        <v>0</v>
      </c>
      <c r="K254" s="222">
        <v>0</v>
      </c>
      <c r="L254" s="221">
        <f t="shared" si="55"/>
        <v>0</v>
      </c>
      <c r="M254" s="221">
        <f t="shared" si="54"/>
        <v>0</v>
      </c>
      <c r="N254" s="221">
        <v>0</v>
      </c>
      <c r="O254" s="221">
        <v>0</v>
      </c>
      <c r="P254" s="218" t="s">
        <v>250</v>
      </c>
      <c r="Q254" s="218">
        <v>34</v>
      </c>
      <c r="R254" s="218" t="s">
        <v>249</v>
      </c>
      <c r="U254" s="184" t="s">
        <v>206</v>
      </c>
      <c r="V254" s="192">
        <v>33</v>
      </c>
      <c r="AD254" s="194">
        <f t="shared" si="53"/>
        <v>0</v>
      </c>
      <c r="AF254" s="195">
        <f t="shared" si="52"/>
        <v>0</v>
      </c>
      <c r="AH254" s="184">
        <v>230</v>
      </c>
      <c r="AJ254" s="184">
        <v>0</v>
      </c>
    </row>
    <row r="255" spans="1:36" x14ac:dyDescent="0.25">
      <c r="B255" s="184" t="s">
        <v>207</v>
      </c>
      <c r="C255" s="221">
        <v>554000</v>
      </c>
      <c r="D255" s="221"/>
      <c r="E255" s="221"/>
      <c r="F255" s="221">
        <f>132857.18+1432.44+419000+710.38</f>
        <v>554000</v>
      </c>
      <c r="G255" s="222">
        <v>0</v>
      </c>
      <c r="H255" s="223">
        <v>0</v>
      </c>
      <c r="I255" s="222"/>
      <c r="J255" s="222">
        <v>0</v>
      </c>
      <c r="K255" s="222">
        <v>0</v>
      </c>
      <c r="L255" s="221">
        <f t="shared" si="55"/>
        <v>0</v>
      </c>
      <c r="M255" s="221">
        <f t="shared" si="54"/>
        <v>0</v>
      </c>
      <c r="N255" s="221">
        <v>0</v>
      </c>
      <c r="O255" s="221">
        <v>0</v>
      </c>
      <c r="P255" s="218" t="s">
        <v>250</v>
      </c>
      <c r="Q255" s="218">
        <v>34</v>
      </c>
      <c r="R255" s="218" t="s">
        <v>249</v>
      </c>
      <c r="U255" s="184" t="s">
        <v>207</v>
      </c>
      <c r="V255" s="192">
        <v>34</v>
      </c>
      <c r="AD255" s="194">
        <f t="shared" si="53"/>
        <v>0</v>
      </c>
      <c r="AF255" s="195">
        <f t="shared" si="52"/>
        <v>0</v>
      </c>
      <c r="AH255" s="184">
        <v>231</v>
      </c>
      <c r="AJ255" s="184">
        <v>0</v>
      </c>
    </row>
    <row r="256" spans="1:36" x14ac:dyDescent="0.25">
      <c r="B256" s="184" t="s">
        <v>208</v>
      </c>
      <c r="C256" s="221">
        <v>409000</v>
      </c>
      <c r="D256" s="221"/>
      <c r="E256" s="221"/>
      <c r="F256" s="221">
        <f>239668.9+169331.1</f>
        <v>409000</v>
      </c>
      <c r="G256" s="222">
        <v>0</v>
      </c>
      <c r="H256" s="223">
        <v>0</v>
      </c>
      <c r="I256" s="222"/>
      <c r="J256" s="222">
        <v>0</v>
      </c>
      <c r="K256" s="222">
        <v>0</v>
      </c>
      <c r="L256" s="221">
        <f t="shared" si="55"/>
        <v>0</v>
      </c>
      <c r="M256" s="221">
        <f t="shared" si="54"/>
        <v>0</v>
      </c>
      <c r="N256" s="221">
        <v>0</v>
      </c>
      <c r="O256" s="221">
        <v>0</v>
      </c>
      <c r="P256" s="218" t="s">
        <v>250</v>
      </c>
      <c r="Q256" s="218">
        <v>34</v>
      </c>
      <c r="R256" s="218" t="s">
        <v>249</v>
      </c>
      <c r="U256" s="184" t="s">
        <v>208</v>
      </c>
      <c r="V256" s="192">
        <v>35</v>
      </c>
      <c r="AD256" s="194">
        <f t="shared" si="53"/>
        <v>0</v>
      </c>
      <c r="AF256" s="195">
        <f t="shared" si="52"/>
        <v>0</v>
      </c>
      <c r="AH256" s="184">
        <v>232</v>
      </c>
      <c r="AJ256" s="184">
        <v>0</v>
      </c>
    </row>
    <row r="257" spans="1:36" x14ac:dyDescent="0.25">
      <c r="B257" s="184" t="s">
        <v>209</v>
      </c>
      <c r="C257" s="221">
        <v>645000</v>
      </c>
      <c r="E257" s="221">
        <v>-400000</v>
      </c>
      <c r="F257" s="226">
        <f>49796.39+156674.21+38529.4</f>
        <v>244999.99999999997</v>
      </c>
      <c r="G257" s="222">
        <v>0</v>
      </c>
      <c r="H257" s="223">
        <v>0</v>
      </c>
      <c r="I257" s="222"/>
      <c r="J257" s="222">
        <v>0</v>
      </c>
      <c r="K257" s="222">
        <v>0</v>
      </c>
      <c r="L257" s="221">
        <f t="shared" si="55"/>
        <v>0</v>
      </c>
      <c r="M257" s="221">
        <f t="shared" si="54"/>
        <v>0</v>
      </c>
      <c r="N257" s="221">
        <v>0</v>
      </c>
      <c r="O257" s="221">
        <v>0</v>
      </c>
      <c r="P257" s="218" t="s">
        <v>250</v>
      </c>
      <c r="Q257" s="218">
        <v>34</v>
      </c>
      <c r="R257" s="218" t="s">
        <v>249</v>
      </c>
      <c r="U257" s="184" t="s">
        <v>209</v>
      </c>
      <c r="V257" s="192">
        <v>36</v>
      </c>
      <c r="AD257" s="194">
        <f t="shared" si="53"/>
        <v>0</v>
      </c>
      <c r="AF257" s="195">
        <f t="shared" si="52"/>
        <v>2.9103830456733704E-11</v>
      </c>
      <c r="AH257" s="184">
        <v>233</v>
      </c>
      <c r="AJ257" s="184">
        <v>0</v>
      </c>
    </row>
    <row r="258" spans="1:36" x14ac:dyDescent="0.25">
      <c r="B258" s="184" t="s">
        <v>226</v>
      </c>
      <c r="C258" s="221">
        <v>536000</v>
      </c>
      <c r="D258" s="221"/>
      <c r="E258" s="221"/>
      <c r="F258" s="221">
        <f>113111+422889</f>
        <v>536000</v>
      </c>
      <c r="G258" s="222">
        <v>0</v>
      </c>
      <c r="H258" s="223">
        <v>0</v>
      </c>
      <c r="I258" s="222"/>
      <c r="J258" s="222">
        <v>0</v>
      </c>
      <c r="K258" s="222">
        <v>0</v>
      </c>
      <c r="L258" s="221">
        <f t="shared" si="55"/>
        <v>0</v>
      </c>
      <c r="M258" s="221">
        <f t="shared" si="54"/>
        <v>0</v>
      </c>
      <c r="N258" s="221">
        <v>0</v>
      </c>
      <c r="O258" s="221">
        <v>0</v>
      </c>
      <c r="P258" s="218" t="s">
        <v>250</v>
      </c>
      <c r="Q258" s="218">
        <v>34</v>
      </c>
      <c r="R258" s="218" t="s">
        <v>249</v>
      </c>
      <c r="U258" s="184" t="s">
        <v>226</v>
      </c>
      <c r="V258" s="192">
        <v>37</v>
      </c>
      <c r="AD258" s="194">
        <f t="shared" si="53"/>
        <v>0</v>
      </c>
      <c r="AF258" s="195">
        <f t="shared" si="52"/>
        <v>0</v>
      </c>
      <c r="AH258" s="184">
        <v>234</v>
      </c>
      <c r="AJ258" s="184">
        <v>0</v>
      </c>
    </row>
    <row r="259" spans="1:36" x14ac:dyDescent="0.25">
      <c r="B259" s="184" t="s">
        <v>211</v>
      </c>
      <c r="C259" s="221">
        <v>1589000</v>
      </c>
      <c r="D259" s="221">
        <v>-3243.25</v>
      </c>
      <c r="E259" s="221"/>
      <c r="F259" s="221">
        <f>1300000+277326.79+8429.96</f>
        <v>1585756.75</v>
      </c>
      <c r="G259" s="222">
        <v>0</v>
      </c>
      <c r="H259" s="223">
        <v>0</v>
      </c>
      <c r="I259" s="222"/>
      <c r="J259" s="222">
        <v>0</v>
      </c>
      <c r="K259" s="222">
        <v>0</v>
      </c>
      <c r="L259" s="221">
        <f t="shared" si="55"/>
        <v>0</v>
      </c>
      <c r="M259" s="221">
        <f t="shared" si="54"/>
        <v>0</v>
      </c>
      <c r="N259" s="221">
        <v>0</v>
      </c>
      <c r="O259" s="221">
        <v>0</v>
      </c>
      <c r="P259" s="218" t="s">
        <v>250</v>
      </c>
      <c r="Q259" s="218">
        <v>34</v>
      </c>
      <c r="R259" s="218" t="s">
        <v>249</v>
      </c>
      <c r="U259" s="184" t="s">
        <v>211</v>
      </c>
      <c r="V259" s="192">
        <v>38</v>
      </c>
      <c r="AD259" s="194">
        <f t="shared" si="53"/>
        <v>0</v>
      </c>
      <c r="AF259" s="195">
        <f t="shared" si="52"/>
        <v>0</v>
      </c>
      <c r="AH259" s="184">
        <v>235</v>
      </c>
      <c r="AJ259" s="184">
        <v>0</v>
      </c>
    </row>
    <row r="260" spans="1:36" x14ac:dyDescent="0.25">
      <c r="B260" s="184" t="s">
        <v>212</v>
      </c>
      <c r="C260" s="212">
        <v>418000</v>
      </c>
      <c r="D260" s="213"/>
      <c r="E260" s="213"/>
      <c r="F260" s="221">
        <f>318000+100000</f>
        <v>418000</v>
      </c>
      <c r="G260" s="222">
        <v>0</v>
      </c>
      <c r="H260" s="223">
        <v>0</v>
      </c>
      <c r="I260" s="222"/>
      <c r="J260" s="222">
        <v>0</v>
      </c>
      <c r="K260" s="222">
        <v>0</v>
      </c>
      <c r="L260" s="221">
        <f t="shared" si="55"/>
        <v>0</v>
      </c>
      <c r="M260" s="221">
        <f t="shared" si="54"/>
        <v>0</v>
      </c>
      <c r="N260" s="221">
        <v>0</v>
      </c>
      <c r="O260" s="221">
        <v>0</v>
      </c>
      <c r="P260" s="218" t="s">
        <v>250</v>
      </c>
      <c r="Q260" s="218">
        <v>34</v>
      </c>
      <c r="R260" s="218" t="s">
        <v>249</v>
      </c>
      <c r="U260" s="184" t="s">
        <v>212</v>
      </c>
      <c r="V260" s="192">
        <v>39</v>
      </c>
      <c r="AF260" s="195">
        <f t="shared" si="52"/>
        <v>0</v>
      </c>
      <c r="AH260" s="184">
        <v>236</v>
      </c>
      <c r="AJ260" s="184">
        <v>0</v>
      </c>
    </row>
    <row r="261" spans="1:36" x14ac:dyDescent="0.25">
      <c r="C261" s="212"/>
      <c r="D261" s="213"/>
      <c r="E261" s="213"/>
      <c r="F261" s="221"/>
      <c r="G261" s="215"/>
      <c r="H261" s="216"/>
      <c r="I261" s="215"/>
      <c r="J261" s="215"/>
      <c r="K261" s="215"/>
      <c r="L261" s="213"/>
      <c r="M261" s="213"/>
      <c r="N261" s="213"/>
      <c r="O261" s="213"/>
      <c r="V261" s="192">
        <v>40</v>
      </c>
      <c r="AH261" s="184">
        <v>237</v>
      </c>
    </row>
    <row r="262" spans="1:36" ht="13.8" thickBot="1" x14ac:dyDescent="0.3">
      <c r="B262" s="227" t="s">
        <v>281</v>
      </c>
      <c r="C262" s="228">
        <f t="shared" ref="C262:O262" si="56">SUM(C246:C261)</f>
        <v>32000000</v>
      </c>
      <c r="D262" s="228">
        <f t="shared" si="56"/>
        <v>-94712.82</v>
      </c>
      <c r="E262" s="228">
        <f t="shared" si="56"/>
        <v>-594040.47</v>
      </c>
      <c r="F262" s="251">
        <f t="shared" si="56"/>
        <v>31223408.740000002</v>
      </c>
      <c r="G262" s="228">
        <f t="shared" si="56"/>
        <v>87837.970000000059</v>
      </c>
      <c r="H262" s="252">
        <f>SUM(H246:H261)</f>
        <v>87837.97</v>
      </c>
      <c r="I262" s="228">
        <f>SUM(I246:I261)</f>
        <v>0</v>
      </c>
      <c r="J262" s="228">
        <f t="shared" si="56"/>
        <v>0</v>
      </c>
      <c r="K262" s="228">
        <f t="shared" si="56"/>
        <v>0</v>
      </c>
      <c r="L262" s="228">
        <f t="shared" si="56"/>
        <v>5.8207660913467407E-11</v>
      </c>
      <c r="M262" s="228">
        <f t="shared" si="56"/>
        <v>0</v>
      </c>
      <c r="N262" s="228">
        <f t="shared" si="56"/>
        <v>0</v>
      </c>
      <c r="O262" s="228">
        <f t="shared" si="56"/>
        <v>87837.97</v>
      </c>
      <c r="U262" s="227" t="s">
        <v>281</v>
      </c>
      <c r="V262" s="192">
        <v>41</v>
      </c>
      <c r="AA262" s="228">
        <f>SUM(AA246:AA261)</f>
        <v>87330.09</v>
      </c>
      <c r="AB262" s="228">
        <f>SUM(AB246:AB261)</f>
        <v>3465</v>
      </c>
      <c r="AC262" s="228">
        <f>SUM(AC246:AC261)</f>
        <v>0</v>
      </c>
      <c r="AD262" s="228">
        <f>SUM(AD246:AD261)</f>
        <v>90795.09</v>
      </c>
      <c r="AF262" s="195">
        <f>C262+D262+E262-F262-G262</f>
        <v>-1.2514647096395493E-9</v>
      </c>
      <c r="AH262" s="184">
        <v>238</v>
      </c>
      <c r="AJ262" s="184">
        <v>87837.97</v>
      </c>
    </row>
    <row r="263" spans="1:36" ht="13.8" thickTop="1" x14ac:dyDescent="0.25">
      <c r="B263" s="224"/>
      <c r="C263" s="212"/>
      <c r="D263" s="212"/>
      <c r="E263" s="212"/>
      <c r="F263" s="221"/>
      <c r="G263" s="212"/>
      <c r="H263" s="225"/>
      <c r="I263" s="212"/>
      <c r="J263" s="212"/>
      <c r="K263" s="212"/>
      <c r="L263" s="212"/>
      <c r="M263" s="212"/>
      <c r="N263" s="212"/>
      <c r="O263" s="212"/>
      <c r="U263" s="224"/>
      <c r="AA263" s="212"/>
      <c r="AB263" s="212"/>
      <c r="AC263" s="212"/>
      <c r="AD263" s="212"/>
      <c r="AH263" s="184">
        <v>239</v>
      </c>
    </row>
    <row r="264" spans="1:36" x14ac:dyDescent="0.25">
      <c r="A264" s="224" t="s">
        <v>282</v>
      </c>
      <c r="C264" s="212"/>
      <c r="D264" s="213"/>
      <c r="E264" s="213"/>
      <c r="F264" s="221"/>
      <c r="G264" s="215"/>
      <c r="H264" s="216"/>
      <c r="I264" s="215"/>
      <c r="J264" s="215"/>
      <c r="K264" s="215"/>
      <c r="L264" s="213"/>
      <c r="M264" s="213"/>
      <c r="N264" s="213"/>
      <c r="O264" s="213"/>
      <c r="P264" s="213"/>
      <c r="S264" s="218"/>
      <c r="U264" s="224" t="s">
        <v>282</v>
      </c>
      <c r="V264" s="184"/>
      <c r="W264" s="192">
        <v>43</v>
      </c>
      <c r="X264" s="193"/>
      <c r="AA264" s="184"/>
      <c r="AE264" s="194"/>
      <c r="AF264" s="194"/>
      <c r="AH264" s="184">
        <v>240</v>
      </c>
    </row>
    <row r="265" spans="1:36" x14ac:dyDescent="0.25">
      <c r="B265" s="184" t="s">
        <v>283</v>
      </c>
      <c r="C265" s="212">
        <v>10000000</v>
      </c>
      <c r="D265" s="221">
        <v>-1769675.29</v>
      </c>
      <c r="E265" s="213"/>
      <c r="F265" s="221">
        <f>552213+682212+342650+3502647.59+156429.35+2684355.93+300831.87+5989.98+2994.99</f>
        <v>8230324.71</v>
      </c>
      <c r="G265" s="222">
        <f>[2]UMBC!F269</f>
        <v>0</v>
      </c>
      <c r="H265" s="223">
        <v>0</v>
      </c>
      <c r="I265" s="222">
        <f>[2]UMBC!I269</f>
        <v>0</v>
      </c>
      <c r="J265" s="222">
        <f>[2]UMBC!J269</f>
        <v>0</v>
      </c>
      <c r="K265" s="222">
        <f>[2]UMBC!K269</f>
        <v>0</v>
      </c>
      <c r="L265" s="221">
        <f>G265-H265-I265-J265-K265</f>
        <v>0</v>
      </c>
      <c r="M265" s="221">
        <f>H265-N265-O265</f>
        <v>0</v>
      </c>
      <c r="N265" s="221">
        <v>0</v>
      </c>
      <c r="O265" s="221">
        <v>0</v>
      </c>
      <c r="P265" s="221"/>
      <c r="Q265" s="218">
        <v>24</v>
      </c>
      <c r="R265" s="218">
        <v>33</v>
      </c>
      <c r="S265" s="218" t="s">
        <v>249</v>
      </c>
      <c r="V265" s="184" t="s">
        <v>283</v>
      </c>
      <c r="W265" s="192">
        <v>44</v>
      </c>
      <c r="X265" s="193"/>
      <c r="AA265" s="184"/>
      <c r="AB265" s="194">
        <v>46154.21</v>
      </c>
      <c r="AE265" s="194">
        <f t="shared" ref="AE265:AE283" si="57">AB265+AC265+AD265</f>
        <v>46154.21</v>
      </c>
      <c r="AF265" s="195">
        <f t="shared" ref="AF265:AF283" si="58">C265+D265+E265-F265-G265</f>
        <v>0</v>
      </c>
      <c r="AH265" s="184">
        <v>241</v>
      </c>
      <c r="AJ265" s="184">
        <v>0</v>
      </c>
    </row>
    <row r="266" spans="1:36" x14ac:dyDescent="0.25">
      <c r="B266" s="224" t="s">
        <v>201</v>
      </c>
      <c r="C266" s="212"/>
      <c r="D266" s="213"/>
      <c r="E266" s="213"/>
      <c r="F266" s="221"/>
      <c r="G266" s="215"/>
      <c r="H266" s="216"/>
      <c r="I266" s="215"/>
      <c r="J266" s="215"/>
      <c r="K266" s="215"/>
      <c r="L266" s="221"/>
      <c r="M266" s="221"/>
      <c r="N266" s="221"/>
      <c r="O266" s="221"/>
      <c r="P266" s="221"/>
      <c r="S266" s="218"/>
      <c r="V266" s="224" t="s">
        <v>201</v>
      </c>
      <c r="W266" s="192">
        <v>45</v>
      </c>
      <c r="X266" s="193"/>
      <c r="AA266" s="184"/>
      <c r="AE266" s="194">
        <f t="shared" si="57"/>
        <v>0</v>
      </c>
      <c r="AF266" s="195">
        <f t="shared" si="58"/>
        <v>0</v>
      </c>
      <c r="AH266" s="184">
        <v>242</v>
      </c>
    </row>
    <row r="267" spans="1:36" x14ac:dyDescent="0.25">
      <c r="B267" s="184" t="s">
        <v>202</v>
      </c>
      <c r="C267" s="212">
        <v>7300000</v>
      </c>
      <c r="D267" s="213"/>
      <c r="E267" s="213"/>
      <c r="F267" s="221">
        <f>521101.62+5465039.68+650600.48+663258.22</f>
        <v>7299999.9999999991</v>
      </c>
      <c r="G267" s="222">
        <v>0</v>
      </c>
      <c r="H267" s="223">
        <v>0</v>
      </c>
      <c r="I267" s="222">
        <f>[2]UMCP!I261</f>
        <v>0</v>
      </c>
      <c r="J267" s="222">
        <f>[2]UMCP!J261</f>
        <v>0</v>
      </c>
      <c r="K267" s="222">
        <v>0</v>
      </c>
      <c r="L267" s="221">
        <f>G267-H267-I267-J267</f>
        <v>0</v>
      </c>
      <c r="M267" s="221">
        <f t="shared" ref="M267:M283" si="59">H267-N267-O267</f>
        <v>0</v>
      </c>
      <c r="N267" s="221"/>
      <c r="O267" s="221">
        <v>0</v>
      </c>
      <c r="P267" s="221"/>
      <c r="Q267" s="218" t="s">
        <v>250</v>
      </c>
      <c r="R267" s="218">
        <v>33</v>
      </c>
      <c r="S267" s="218" t="s">
        <v>249</v>
      </c>
      <c r="V267" s="184" t="s">
        <v>202</v>
      </c>
      <c r="W267" s="192">
        <v>46</v>
      </c>
      <c r="X267" s="193"/>
      <c r="AA267" s="184"/>
      <c r="AE267" s="194">
        <f t="shared" si="57"/>
        <v>0</v>
      </c>
      <c r="AF267" s="195">
        <f t="shared" si="58"/>
        <v>9.3132257461547852E-10</v>
      </c>
      <c r="AH267" s="184">
        <v>243</v>
      </c>
      <c r="AJ267" s="184">
        <v>0</v>
      </c>
    </row>
    <row r="268" spans="1:36" x14ac:dyDescent="0.25">
      <c r="B268" s="184" t="s">
        <v>203</v>
      </c>
      <c r="C268" s="212">
        <v>2675000</v>
      </c>
      <c r="D268" s="221">
        <v>-0.44</v>
      </c>
      <c r="E268" s="213"/>
      <c r="F268" s="221">
        <f>255402.95+12508.9+6918.83+51395+1530284.28+792620+5949.45+365.57+8437.42</f>
        <v>2663882.4</v>
      </c>
      <c r="G268" s="222">
        <f>[1]UMB!F310</f>
        <v>11117.15999999992</v>
      </c>
      <c r="H268" s="223">
        <f>[1]UMB!H310</f>
        <v>11117.16</v>
      </c>
      <c r="I268" s="222">
        <f>[2]UMB!I346</f>
        <v>0</v>
      </c>
      <c r="J268" s="222">
        <f>[2]UMB!J346</f>
        <v>0</v>
      </c>
      <c r="K268" s="222">
        <v>0</v>
      </c>
      <c r="L268" s="221">
        <f t="shared" ref="L268:L276" si="60">G268-H268-I268-J268-K268</f>
        <v>-8.0035533756017685E-11</v>
      </c>
      <c r="M268" s="221">
        <f t="shared" si="59"/>
        <v>0</v>
      </c>
      <c r="N268" s="221">
        <v>0</v>
      </c>
      <c r="O268" s="221">
        <v>11117.16</v>
      </c>
      <c r="P268" s="221"/>
      <c r="Q268" s="218" t="s">
        <v>250</v>
      </c>
      <c r="R268" s="218">
        <v>33</v>
      </c>
      <c r="S268" s="218" t="s">
        <v>249</v>
      </c>
      <c r="V268" s="184" t="s">
        <v>203</v>
      </c>
      <c r="W268" s="192">
        <v>47</v>
      </c>
      <c r="X268" s="193"/>
      <c r="AA268" s="184"/>
      <c r="AE268" s="194">
        <f t="shared" si="57"/>
        <v>0</v>
      </c>
      <c r="AF268" s="195">
        <f t="shared" si="58"/>
        <v>2.2919266484677792E-10</v>
      </c>
      <c r="AH268" s="184">
        <v>244</v>
      </c>
      <c r="AJ268" s="184">
        <v>11117.16</v>
      </c>
    </row>
    <row r="269" spans="1:36" x14ac:dyDescent="0.25">
      <c r="B269" s="184" t="s">
        <v>204</v>
      </c>
      <c r="C269" s="212">
        <v>642000</v>
      </c>
      <c r="D269" s="213"/>
      <c r="E269" s="213"/>
      <c r="F269" s="221">
        <f>467739.04+174260.96</f>
        <v>642000</v>
      </c>
      <c r="G269" s="222">
        <v>0</v>
      </c>
      <c r="H269" s="222">
        <v>0</v>
      </c>
      <c r="I269" s="223">
        <v>0</v>
      </c>
      <c r="J269" s="222">
        <f>[2]UMES!J137</f>
        <v>0</v>
      </c>
      <c r="K269" s="222">
        <v>0</v>
      </c>
      <c r="L269" s="221">
        <f t="shared" si="60"/>
        <v>0</v>
      </c>
      <c r="M269" s="221">
        <f t="shared" si="59"/>
        <v>0</v>
      </c>
      <c r="N269" s="221"/>
      <c r="O269" s="221">
        <v>0</v>
      </c>
      <c r="P269" s="221"/>
      <c r="Q269" s="218" t="s">
        <v>250</v>
      </c>
      <c r="R269" s="218">
        <v>33</v>
      </c>
      <c r="S269" s="218" t="s">
        <v>249</v>
      </c>
      <c r="V269" s="184" t="s">
        <v>204</v>
      </c>
      <c r="W269" s="192">
        <v>48</v>
      </c>
      <c r="X269" s="193"/>
      <c r="AA269" s="184"/>
      <c r="AB269" s="194">
        <v>174260.96</v>
      </c>
      <c r="AE269" s="194">
        <f t="shared" si="57"/>
        <v>174260.96</v>
      </c>
      <c r="AF269" s="195">
        <f t="shared" si="58"/>
        <v>0</v>
      </c>
      <c r="AH269" s="184">
        <v>245</v>
      </c>
      <c r="AJ269" s="184">
        <v>0</v>
      </c>
    </row>
    <row r="270" spans="1:36" x14ac:dyDescent="0.25">
      <c r="B270" s="184" t="s">
        <v>205</v>
      </c>
      <c r="C270" s="212">
        <v>1452000</v>
      </c>
      <c r="D270" s="213"/>
      <c r="E270" s="213"/>
      <c r="F270" s="221">
        <f>11398.09+376900.74+3678+387308.65+333834.19+133880.33+205000</f>
        <v>1452000</v>
      </c>
      <c r="G270" s="222">
        <v>0</v>
      </c>
      <c r="H270" s="222">
        <v>0</v>
      </c>
      <c r="I270" s="223">
        <v>0</v>
      </c>
      <c r="J270" s="222">
        <f>[2]UMBC!J128</f>
        <v>0</v>
      </c>
      <c r="K270" s="222">
        <v>0</v>
      </c>
      <c r="L270" s="221">
        <f t="shared" si="60"/>
        <v>0</v>
      </c>
      <c r="M270" s="221">
        <f t="shared" si="59"/>
        <v>0</v>
      </c>
      <c r="N270" s="221"/>
      <c r="O270" s="221">
        <v>0</v>
      </c>
      <c r="P270" s="221"/>
      <c r="Q270" s="218" t="s">
        <v>250</v>
      </c>
      <c r="R270" s="218">
        <v>33</v>
      </c>
      <c r="S270" s="218" t="s">
        <v>249</v>
      </c>
      <c r="V270" s="184" t="s">
        <v>205</v>
      </c>
      <c r="W270" s="192">
        <v>49</v>
      </c>
      <c r="X270" s="193"/>
      <c r="AA270" s="184"/>
      <c r="AB270" s="194">
        <v>205000</v>
      </c>
      <c r="AE270" s="194">
        <f t="shared" si="57"/>
        <v>205000</v>
      </c>
      <c r="AF270" s="195">
        <f t="shared" si="58"/>
        <v>0</v>
      </c>
      <c r="AH270" s="184">
        <v>246</v>
      </c>
      <c r="AJ270" s="184">
        <v>0</v>
      </c>
    </row>
    <row r="271" spans="1:36" x14ac:dyDescent="0.25">
      <c r="B271" s="184" t="s">
        <v>206</v>
      </c>
      <c r="C271" s="212">
        <v>317000</v>
      </c>
      <c r="D271" s="213"/>
      <c r="E271" s="213"/>
      <c r="F271" s="221">
        <f>155066.67+155318.95+6614.38</f>
        <v>317000</v>
      </c>
      <c r="G271" s="222">
        <v>0</v>
      </c>
      <c r="H271" s="222">
        <v>0</v>
      </c>
      <c r="I271" s="223">
        <v>0</v>
      </c>
      <c r="J271" s="222">
        <f>[2]UMCES!J143</f>
        <v>0</v>
      </c>
      <c r="K271" s="222">
        <v>0</v>
      </c>
      <c r="L271" s="221">
        <f t="shared" si="60"/>
        <v>0</v>
      </c>
      <c r="M271" s="221">
        <f t="shared" si="59"/>
        <v>0</v>
      </c>
      <c r="N271" s="221"/>
      <c r="O271" s="221">
        <v>0</v>
      </c>
      <c r="P271" s="221"/>
      <c r="Q271" s="218" t="s">
        <v>250</v>
      </c>
      <c r="R271" s="218">
        <v>33</v>
      </c>
      <c r="S271" s="218" t="s">
        <v>249</v>
      </c>
      <c r="V271" s="184" t="s">
        <v>206</v>
      </c>
      <c r="W271" s="192">
        <v>50</v>
      </c>
      <c r="X271" s="193"/>
      <c r="AA271" s="184"/>
      <c r="AE271" s="194">
        <f t="shared" si="57"/>
        <v>0</v>
      </c>
      <c r="AF271" s="195">
        <f t="shared" si="58"/>
        <v>0</v>
      </c>
      <c r="AH271" s="184">
        <v>247</v>
      </c>
      <c r="AJ271" s="184">
        <v>0</v>
      </c>
    </row>
    <row r="272" spans="1:36" x14ac:dyDescent="0.25">
      <c r="B272" s="184" t="s">
        <v>207</v>
      </c>
      <c r="C272" s="212">
        <v>554000</v>
      </c>
      <c r="D272" s="213"/>
      <c r="E272" s="213"/>
      <c r="F272" s="221">
        <f>13775+173037.91+61664+305523.09</f>
        <v>554000</v>
      </c>
      <c r="G272" s="222">
        <v>0</v>
      </c>
      <c r="H272" s="222">
        <v>0</v>
      </c>
      <c r="I272" s="223">
        <v>0</v>
      </c>
      <c r="J272" s="222">
        <f>[2]BSU!J130</f>
        <v>0</v>
      </c>
      <c r="K272" s="222">
        <v>0</v>
      </c>
      <c r="L272" s="221">
        <f t="shared" si="60"/>
        <v>0</v>
      </c>
      <c r="M272" s="221">
        <f t="shared" si="59"/>
        <v>0</v>
      </c>
      <c r="N272" s="221"/>
      <c r="O272" s="221">
        <v>0</v>
      </c>
      <c r="P272" s="221"/>
      <c r="Q272" s="218" t="s">
        <v>250</v>
      </c>
      <c r="R272" s="218">
        <v>33</v>
      </c>
      <c r="S272" s="218" t="s">
        <v>249</v>
      </c>
      <c r="V272" s="184" t="s">
        <v>207</v>
      </c>
      <c r="W272" s="192">
        <v>51</v>
      </c>
      <c r="X272" s="193"/>
      <c r="AA272" s="184"/>
      <c r="AE272" s="194">
        <f t="shared" si="57"/>
        <v>0</v>
      </c>
      <c r="AF272" s="195">
        <f t="shared" si="58"/>
        <v>0</v>
      </c>
      <c r="AH272" s="184">
        <v>248</v>
      </c>
      <c r="AJ272" s="184">
        <v>0</v>
      </c>
    </row>
    <row r="273" spans="1:36" x14ac:dyDescent="0.25">
      <c r="B273" s="184" t="s">
        <v>208</v>
      </c>
      <c r="C273" s="212">
        <v>409000</v>
      </c>
      <c r="D273" s="213"/>
      <c r="E273" s="213"/>
      <c r="F273" s="221">
        <f>241560+167440</f>
        <v>409000</v>
      </c>
      <c r="G273" s="222">
        <v>0</v>
      </c>
      <c r="H273" s="222">
        <v>0</v>
      </c>
      <c r="I273" s="223">
        <v>0</v>
      </c>
      <c r="J273" s="222">
        <f>[2]CSU!J187</f>
        <v>0</v>
      </c>
      <c r="K273" s="222">
        <v>0</v>
      </c>
      <c r="L273" s="221">
        <f t="shared" si="60"/>
        <v>0</v>
      </c>
      <c r="M273" s="221">
        <f t="shared" si="59"/>
        <v>0</v>
      </c>
      <c r="N273" s="221"/>
      <c r="O273" s="221">
        <v>0</v>
      </c>
      <c r="P273" s="221"/>
      <c r="Q273" s="218" t="s">
        <v>250</v>
      </c>
      <c r="R273" s="218">
        <v>33</v>
      </c>
      <c r="S273" s="218" t="s">
        <v>249</v>
      </c>
      <c r="V273" s="184" t="s">
        <v>208</v>
      </c>
      <c r="W273" s="192">
        <v>52</v>
      </c>
      <c r="X273" s="193"/>
      <c r="AA273" s="184"/>
      <c r="AE273" s="194">
        <f t="shared" si="57"/>
        <v>0</v>
      </c>
      <c r="AF273" s="195">
        <f t="shared" si="58"/>
        <v>0</v>
      </c>
      <c r="AH273" s="184">
        <v>249</v>
      </c>
      <c r="AJ273" s="184">
        <v>0</v>
      </c>
    </row>
    <row r="274" spans="1:36" x14ac:dyDescent="0.25">
      <c r="B274" s="184" t="s">
        <v>209</v>
      </c>
      <c r="C274" s="212">
        <v>645000</v>
      </c>
      <c r="D274" s="221">
        <v>-123.84</v>
      </c>
      <c r="E274" s="213"/>
      <c r="F274" s="221">
        <f>149747.86+233123.53+236648.98+10887.79+14468</f>
        <v>644876.16</v>
      </c>
      <c r="G274" s="222">
        <v>0</v>
      </c>
      <c r="H274" s="222">
        <v>0</v>
      </c>
      <c r="I274" s="223">
        <v>0</v>
      </c>
      <c r="J274" s="222">
        <f>[2]FSU!J160</f>
        <v>0</v>
      </c>
      <c r="K274" s="222">
        <v>0</v>
      </c>
      <c r="L274" s="221">
        <f t="shared" si="60"/>
        <v>0</v>
      </c>
      <c r="M274" s="221">
        <f t="shared" si="59"/>
        <v>0</v>
      </c>
      <c r="N274" s="221"/>
      <c r="O274" s="221">
        <v>0</v>
      </c>
      <c r="P274" s="221"/>
      <c r="Q274" s="218" t="s">
        <v>250</v>
      </c>
      <c r="R274" s="218">
        <v>33</v>
      </c>
      <c r="S274" s="218" t="s">
        <v>249</v>
      </c>
      <c r="V274" s="184" t="s">
        <v>209</v>
      </c>
      <c r="W274" s="192">
        <v>53</v>
      </c>
      <c r="X274" s="193"/>
      <c r="AA274" s="184"/>
      <c r="AE274" s="194">
        <f t="shared" si="57"/>
        <v>0</v>
      </c>
      <c r="AF274" s="195">
        <f t="shared" si="58"/>
        <v>0</v>
      </c>
      <c r="AH274" s="184">
        <v>250</v>
      </c>
      <c r="AJ274" s="184">
        <v>0</v>
      </c>
    </row>
    <row r="275" spans="1:36" x14ac:dyDescent="0.25">
      <c r="B275" s="184" t="s">
        <v>226</v>
      </c>
      <c r="C275" s="212">
        <v>536000</v>
      </c>
      <c r="D275" s="213"/>
      <c r="E275" s="213"/>
      <c r="F275" s="221">
        <f>9769.18+136034.79+390196.03</f>
        <v>536000</v>
      </c>
      <c r="G275" s="222">
        <v>0</v>
      </c>
      <c r="H275" s="222">
        <v>0</v>
      </c>
      <c r="I275" s="223">
        <v>0</v>
      </c>
      <c r="J275" s="222">
        <f>[2]SU!J143</f>
        <v>0</v>
      </c>
      <c r="K275" s="222">
        <v>0</v>
      </c>
      <c r="L275" s="221">
        <f t="shared" si="60"/>
        <v>0</v>
      </c>
      <c r="M275" s="221">
        <f t="shared" si="59"/>
        <v>0</v>
      </c>
      <c r="N275" s="221"/>
      <c r="O275" s="221">
        <v>0</v>
      </c>
      <c r="P275" s="221"/>
      <c r="Q275" s="218" t="s">
        <v>250</v>
      </c>
      <c r="R275" s="218">
        <v>33</v>
      </c>
      <c r="S275" s="218" t="s">
        <v>249</v>
      </c>
      <c r="V275" s="184" t="s">
        <v>226</v>
      </c>
      <c r="W275" s="192">
        <v>54</v>
      </c>
      <c r="X275" s="193"/>
      <c r="AA275" s="184"/>
      <c r="AE275" s="194">
        <f t="shared" si="57"/>
        <v>0</v>
      </c>
      <c r="AF275" s="195">
        <f t="shared" si="58"/>
        <v>0</v>
      </c>
      <c r="AH275" s="184">
        <v>251</v>
      </c>
      <c r="AJ275" s="184">
        <v>0</v>
      </c>
    </row>
    <row r="276" spans="1:36" x14ac:dyDescent="0.25">
      <c r="B276" s="184" t="s">
        <v>211</v>
      </c>
      <c r="C276" s="212">
        <v>1589000</v>
      </c>
      <c r="D276" s="213"/>
      <c r="E276" s="213"/>
      <c r="F276" s="221">
        <f>13876.75+13876.75+372246.5+900000+276250+12750</f>
        <v>1589000</v>
      </c>
      <c r="G276" s="222">
        <v>0</v>
      </c>
      <c r="H276" s="222">
        <v>0</v>
      </c>
      <c r="I276" s="223">
        <v>0</v>
      </c>
      <c r="J276" s="222">
        <f>[2]TU!J315+[2]TU!J321+[2]TU!J328</f>
        <v>0</v>
      </c>
      <c r="K276" s="222">
        <v>0</v>
      </c>
      <c r="L276" s="221">
        <f t="shared" si="60"/>
        <v>0</v>
      </c>
      <c r="M276" s="221">
        <f t="shared" si="59"/>
        <v>0</v>
      </c>
      <c r="N276" s="221"/>
      <c r="O276" s="221">
        <v>0</v>
      </c>
      <c r="P276" s="221"/>
      <c r="Q276" s="218" t="s">
        <v>250</v>
      </c>
      <c r="R276" s="218">
        <v>33</v>
      </c>
      <c r="S276" s="218" t="s">
        <v>249</v>
      </c>
      <c r="V276" s="184" t="s">
        <v>211</v>
      </c>
      <c r="W276" s="192">
        <v>55</v>
      </c>
      <c r="X276" s="193"/>
      <c r="AA276" s="184"/>
      <c r="AE276" s="194">
        <f t="shared" si="57"/>
        <v>0</v>
      </c>
      <c r="AF276" s="195">
        <f t="shared" si="58"/>
        <v>0</v>
      </c>
      <c r="AH276" s="184">
        <v>252</v>
      </c>
      <c r="AJ276" s="184">
        <v>0</v>
      </c>
    </row>
    <row r="277" spans="1:36" x14ac:dyDescent="0.25">
      <c r="B277" s="184" t="s">
        <v>212</v>
      </c>
      <c r="C277" s="212">
        <v>418000</v>
      </c>
      <c r="D277" s="213"/>
      <c r="E277" s="213"/>
      <c r="F277" s="221">
        <v>418000</v>
      </c>
      <c r="G277" s="222">
        <v>0</v>
      </c>
      <c r="H277" s="222">
        <v>0</v>
      </c>
      <c r="I277" s="223">
        <v>0</v>
      </c>
      <c r="J277" s="222">
        <f>[2]UB!J145</f>
        <v>0</v>
      </c>
      <c r="K277" s="222">
        <v>0</v>
      </c>
      <c r="L277" s="221">
        <f>G277-H277-I277-J277</f>
        <v>0</v>
      </c>
      <c r="M277" s="221">
        <f t="shared" si="59"/>
        <v>0</v>
      </c>
      <c r="N277" s="221"/>
      <c r="O277" s="221">
        <v>0</v>
      </c>
      <c r="P277" s="221"/>
      <c r="Q277" s="218" t="s">
        <v>250</v>
      </c>
      <c r="R277" s="218">
        <v>33</v>
      </c>
      <c r="S277" s="218" t="s">
        <v>249</v>
      </c>
      <c r="V277" s="184" t="s">
        <v>212</v>
      </c>
      <c r="W277" s="192">
        <v>56</v>
      </c>
      <c r="X277" s="193"/>
      <c r="AA277" s="184"/>
      <c r="AE277" s="194">
        <f t="shared" si="57"/>
        <v>0</v>
      </c>
      <c r="AF277" s="195">
        <f t="shared" si="58"/>
        <v>0</v>
      </c>
      <c r="AH277" s="184">
        <v>253</v>
      </c>
      <c r="AJ277" s="184">
        <v>0</v>
      </c>
    </row>
    <row r="278" spans="1:36" x14ac:dyDescent="0.25">
      <c r="B278" s="224" t="s">
        <v>216</v>
      </c>
      <c r="C278" s="212">
        <v>463000</v>
      </c>
      <c r="D278" s="226"/>
      <c r="E278" s="226">
        <f>7473.73+143543.54+140950.06+80486.28+307.72+1573.79+225393.78+161515+6500+43000+48474-24985+400000-95042.36-352416-347584-73000-829190.54</f>
        <v>-463000.00000000023</v>
      </c>
      <c r="F278" s="226"/>
      <c r="G278" s="222"/>
      <c r="H278" s="222"/>
      <c r="I278" s="222"/>
      <c r="J278" s="222"/>
      <c r="K278" s="222"/>
      <c r="L278" s="221"/>
      <c r="M278" s="221">
        <f t="shared" si="59"/>
        <v>0</v>
      </c>
      <c r="N278" s="221"/>
      <c r="O278" s="221"/>
      <c r="P278" s="221"/>
      <c r="Q278" s="218" t="s">
        <v>250</v>
      </c>
      <c r="R278" s="218">
        <v>33</v>
      </c>
      <c r="S278" s="218" t="s">
        <v>249</v>
      </c>
      <c r="V278" s="224" t="s">
        <v>216</v>
      </c>
      <c r="W278" s="192">
        <v>57</v>
      </c>
      <c r="X278" s="193"/>
      <c r="AA278" s="184"/>
      <c r="AE278" s="194">
        <f t="shared" si="57"/>
        <v>0</v>
      </c>
      <c r="AF278" s="195">
        <f t="shared" si="58"/>
        <v>-2.3283064365386963E-10</v>
      </c>
      <c r="AH278" s="184">
        <v>254</v>
      </c>
    </row>
    <row r="279" spans="1:36" x14ac:dyDescent="0.25">
      <c r="B279" s="184" t="s">
        <v>284</v>
      </c>
      <c r="C279" s="212"/>
      <c r="D279" s="191"/>
      <c r="E279" s="221">
        <v>95042.36</v>
      </c>
      <c r="F279" s="226">
        <f>18164+76878.36</f>
        <v>95042.36</v>
      </c>
      <c r="G279" s="222">
        <v>0</v>
      </c>
      <c r="H279" s="222">
        <v>0</v>
      </c>
      <c r="I279" s="223">
        <v>0</v>
      </c>
      <c r="J279" s="222">
        <f>[2]UMB!J32</f>
        <v>0</v>
      </c>
      <c r="K279" s="222">
        <v>0</v>
      </c>
      <c r="L279" s="221">
        <f>G279-H279-I279-J279-K279</f>
        <v>0</v>
      </c>
      <c r="M279" s="221">
        <f t="shared" si="59"/>
        <v>0</v>
      </c>
      <c r="N279" s="221"/>
      <c r="O279" s="221">
        <v>0</v>
      </c>
      <c r="P279" s="221"/>
      <c r="Q279" s="218" t="s">
        <v>250</v>
      </c>
      <c r="R279" s="218">
        <v>33</v>
      </c>
      <c r="S279" s="218" t="s">
        <v>249</v>
      </c>
      <c r="V279" s="184" t="s">
        <v>284</v>
      </c>
      <c r="W279" s="192"/>
      <c r="X279" s="193"/>
      <c r="AA279" s="184"/>
      <c r="AE279" s="194">
        <f t="shared" si="57"/>
        <v>0</v>
      </c>
      <c r="AF279" s="195">
        <f t="shared" si="58"/>
        <v>0</v>
      </c>
      <c r="AH279" s="184">
        <v>255</v>
      </c>
      <c r="AJ279" s="184">
        <v>0</v>
      </c>
    </row>
    <row r="280" spans="1:36" x14ac:dyDescent="0.25">
      <c r="B280" s="184" t="s">
        <v>285</v>
      </c>
      <c r="C280" s="212"/>
      <c r="D280" s="191"/>
      <c r="E280" s="221">
        <v>24985</v>
      </c>
      <c r="F280" s="226">
        <v>24985</v>
      </c>
      <c r="G280" s="222">
        <v>0</v>
      </c>
      <c r="H280" s="222">
        <v>0</v>
      </c>
      <c r="I280" s="223">
        <v>0</v>
      </c>
      <c r="J280" s="222">
        <f>[2]UMBC!J8</f>
        <v>0</v>
      </c>
      <c r="K280" s="222">
        <v>0</v>
      </c>
      <c r="L280" s="221">
        <f>G280-H280-I280-J280-K280</f>
        <v>0</v>
      </c>
      <c r="M280" s="221">
        <f t="shared" si="59"/>
        <v>0</v>
      </c>
      <c r="N280" s="221"/>
      <c r="O280" s="221">
        <v>0</v>
      </c>
      <c r="P280" s="221"/>
      <c r="Q280" s="218" t="s">
        <v>250</v>
      </c>
      <c r="R280" s="218">
        <v>33</v>
      </c>
      <c r="S280" s="218" t="s">
        <v>249</v>
      </c>
      <c r="V280" s="184" t="s">
        <v>285</v>
      </c>
      <c r="W280" s="192">
        <v>58</v>
      </c>
      <c r="X280" s="193"/>
      <c r="AA280" s="184"/>
      <c r="AE280" s="194">
        <f t="shared" si="57"/>
        <v>0</v>
      </c>
      <c r="AF280" s="195">
        <f t="shared" si="58"/>
        <v>0</v>
      </c>
      <c r="AH280" s="184">
        <v>256</v>
      </c>
      <c r="AJ280" s="184">
        <v>0</v>
      </c>
    </row>
    <row r="281" spans="1:36" x14ac:dyDescent="0.25">
      <c r="B281" s="184" t="s">
        <v>286</v>
      </c>
      <c r="C281" s="212"/>
      <c r="D281" s="190"/>
      <c r="E281" s="221">
        <f>352416+194040.47</f>
        <v>546456.47</v>
      </c>
      <c r="F281" s="226">
        <f>8359.4+401330.82+136713.16+53.09</f>
        <v>546456.47</v>
      </c>
      <c r="G281" s="222">
        <v>0</v>
      </c>
      <c r="H281" s="222">
        <v>0</v>
      </c>
      <c r="I281" s="223">
        <v>0</v>
      </c>
      <c r="J281" s="222">
        <f>[2]UMCES!J32</f>
        <v>0</v>
      </c>
      <c r="K281" s="222">
        <v>0</v>
      </c>
      <c r="L281" s="221">
        <f>G281-H281-I281-J281-K281</f>
        <v>0</v>
      </c>
      <c r="M281" s="221">
        <f t="shared" si="59"/>
        <v>0</v>
      </c>
      <c r="N281" s="221"/>
      <c r="O281" s="221">
        <v>0</v>
      </c>
      <c r="P281" s="221"/>
      <c r="Q281" s="218" t="s">
        <v>250</v>
      </c>
      <c r="R281" s="218">
        <v>33</v>
      </c>
      <c r="S281" s="218" t="s">
        <v>249</v>
      </c>
      <c r="V281" s="184" t="s">
        <v>286</v>
      </c>
      <c r="W281" s="192"/>
      <c r="X281" s="193"/>
      <c r="AA281" s="184"/>
      <c r="AE281" s="194">
        <f t="shared" si="57"/>
        <v>0</v>
      </c>
      <c r="AF281" s="195">
        <f t="shared" si="58"/>
        <v>0</v>
      </c>
      <c r="AH281" s="184">
        <v>257</v>
      </c>
      <c r="AJ281" s="184">
        <v>0</v>
      </c>
    </row>
    <row r="282" spans="1:36" x14ac:dyDescent="0.25">
      <c r="B282" s="184" t="s">
        <v>287</v>
      </c>
      <c r="C282" s="212"/>
      <c r="D282" s="191"/>
      <c r="E282" s="221">
        <v>347584</v>
      </c>
      <c r="F282" s="222">
        <v>347584</v>
      </c>
      <c r="G282" s="222">
        <v>0</v>
      </c>
      <c r="H282" s="222">
        <v>0</v>
      </c>
      <c r="I282" s="223">
        <v>0</v>
      </c>
      <c r="J282" s="222">
        <f>[2]UMCES!J38</f>
        <v>0</v>
      </c>
      <c r="K282" s="222">
        <v>0</v>
      </c>
      <c r="L282" s="221">
        <f>G282-H282-I282-J282-K282</f>
        <v>0</v>
      </c>
      <c r="M282" s="221">
        <f t="shared" si="59"/>
        <v>0</v>
      </c>
      <c r="N282" s="221"/>
      <c r="O282" s="221">
        <v>0</v>
      </c>
      <c r="P282" s="221"/>
      <c r="Q282" s="218" t="s">
        <v>250</v>
      </c>
      <c r="R282" s="218">
        <v>33</v>
      </c>
      <c r="S282" s="218" t="s">
        <v>249</v>
      </c>
      <c r="V282" s="184" t="s">
        <v>287</v>
      </c>
      <c r="W282" s="192"/>
      <c r="X282" s="193"/>
      <c r="AA282" s="184"/>
      <c r="AE282" s="194">
        <f t="shared" si="57"/>
        <v>0</v>
      </c>
      <c r="AF282" s="195">
        <f t="shared" si="58"/>
        <v>0</v>
      </c>
      <c r="AH282" s="184">
        <v>258</v>
      </c>
      <c r="AJ282" s="184">
        <v>0</v>
      </c>
    </row>
    <row r="283" spans="1:36" x14ac:dyDescent="0.25">
      <c r="B283" s="184" t="s">
        <v>288</v>
      </c>
      <c r="C283" s="212"/>
      <c r="D283" s="191"/>
      <c r="E283" s="221">
        <v>73000</v>
      </c>
      <c r="F283" s="226">
        <f>63198.5+1789.6+8011.9</f>
        <v>73000</v>
      </c>
      <c r="G283" s="222">
        <v>0</v>
      </c>
      <c r="H283" s="222">
        <v>0</v>
      </c>
      <c r="I283" s="223">
        <v>0</v>
      </c>
      <c r="J283" s="222">
        <f>[2]CSU!J29</f>
        <v>0</v>
      </c>
      <c r="K283" s="222">
        <v>0</v>
      </c>
      <c r="L283" s="221">
        <f>G283-H283-I283-J283-K283</f>
        <v>0</v>
      </c>
      <c r="M283" s="221">
        <f t="shared" si="59"/>
        <v>0</v>
      </c>
      <c r="N283" s="221"/>
      <c r="O283" s="221">
        <v>0</v>
      </c>
      <c r="P283" s="221"/>
      <c r="Q283" s="218" t="s">
        <v>250</v>
      </c>
      <c r="R283" s="218">
        <v>33</v>
      </c>
      <c r="S283" s="218" t="s">
        <v>249</v>
      </c>
      <c r="V283" s="184"/>
      <c r="W283" s="192"/>
      <c r="X283" s="193"/>
      <c r="AA283" s="184"/>
      <c r="AE283" s="194">
        <f t="shared" si="57"/>
        <v>0</v>
      </c>
      <c r="AF283" s="195">
        <f t="shared" si="58"/>
        <v>0</v>
      </c>
      <c r="AH283" s="184">
        <v>259</v>
      </c>
      <c r="AJ283" s="184">
        <v>0</v>
      </c>
    </row>
    <row r="284" spans="1:36" x14ac:dyDescent="0.25">
      <c r="C284" s="212"/>
      <c r="D284" s="213"/>
      <c r="E284" s="213"/>
      <c r="F284" s="221"/>
      <c r="G284" s="215"/>
      <c r="H284" s="216"/>
      <c r="I284" s="215"/>
      <c r="J284" s="215"/>
      <c r="K284" s="215"/>
      <c r="L284" s="213"/>
      <c r="M284" s="213"/>
      <c r="N284" s="213"/>
      <c r="O284" s="213"/>
      <c r="P284" s="213"/>
      <c r="S284" s="218"/>
      <c r="V284" s="184"/>
      <c r="W284" s="192">
        <v>59</v>
      </c>
      <c r="X284" s="193"/>
      <c r="AA284" s="184"/>
      <c r="AE284" s="194"/>
      <c r="AF284" s="194"/>
      <c r="AH284" s="184">
        <v>260</v>
      </c>
    </row>
    <row r="285" spans="1:36" ht="13.8" thickBot="1" x14ac:dyDescent="0.3">
      <c r="B285" s="227" t="s">
        <v>289</v>
      </c>
      <c r="C285" s="228">
        <f t="shared" ref="C285:K285" si="61">SUM(C265:C284)</f>
        <v>27000000</v>
      </c>
      <c r="D285" s="228">
        <f t="shared" si="61"/>
        <v>-1769799.57</v>
      </c>
      <c r="E285" s="228">
        <f>SUM(E265:E284)</f>
        <v>624067.82999999973</v>
      </c>
      <c r="F285" s="228">
        <f>SUM(F265:F284)</f>
        <v>25843151.099999998</v>
      </c>
      <c r="G285" s="228">
        <f>SUM(G265:G284)</f>
        <v>11117.15999999992</v>
      </c>
      <c r="H285" s="252">
        <f>SUM(H268:H283)</f>
        <v>11117.16</v>
      </c>
      <c r="I285" s="228">
        <f t="shared" si="61"/>
        <v>0</v>
      </c>
      <c r="J285" s="228">
        <f>SUM(J265:J284)</f>
        <v>0</v>
      </c>
      <c r="K285" s="228">
        <f t="shared" si="61"/>
        <v>0</v>
      </c>
      <c r="L285" s="228">
        <f>SUM(L268:L283)</f>
        <v>-8.0035533756017685E-11</v>
      </c>
      <c r="M285" s="228">
        <f>SUM(M268:M283)</f>
        <v>0</v>
      </c>
      <c r="N285" s="228">
        <f>SUM(N265:N284)</f>
        <v>0</v>
      </c>
      <c r="O285" s="228">
        <f>SUM(O265:O284)</f>
        <v>11117.16</v>
      </c>
      <c r="P285" s="212"/>
      <c r="S285" s="218"/>
      <c r="V285" s="227" t="s">
        <v>289</v>
      </c>
      <c r="W285" s="192">
        <v>60</v>
      </c>
      <c r="X285" s="193"/>
      <c r="AA285" s="184"/>
      <c r="AB285" s="228">
        <f>SUM(AB265:AB284)</f>
        <v>425415.17</v>
      </c>
      <c r="AC285" s="228">
        <f>SUM(AC265:AC284)</f>
        <v>0</v>
      </c>
      <c r="AD285" s="228">
        <f>SUM(AD265:AD284)</f>
        <v>0</v>
      </c>
      <c r="AE285" s="228">
        <f>SUM(AE265:AE284)</f>
        <v>425415.17</v>
      </c>
      <c r="AF285" s="195">
        <f>C285+D285+E285-F285-G285</f>
        <v>2.2919266484677792E-10</v>
      </c>
      <c r="AH285" s="184">
        <v>261</v>
      </c>
      <c r="AJ285" s="184">
        <v>11117.16</v>
      </c>
    </row>
    <row r="286" spans="1:36" ht="13.8" thickTop="1" x14ac:dyDescent="0.25">
      <c r="C286" s="184"/>
      <c r="D286" s="212"/>
      <c r="E286" s="212"/>
      <c r="F286" s="221"/>
      <c r="G286" s="212"/>
      <c r="H286" s="225"/>
      <c r="I286" s="212"/>
      <c r="J286" s="212"/>
      <c r="K286" s="212"/>
      <c r="L286" s="212"/>
      <c r="M286" s="212"/>
      <c r="N286" s="212"/>
      <c r="O286" s="212"/>
      <c r="U286" s="224"/>
      <c r="AA286" s="212"/>
      <c r="AB286" s="212"/>
      <c r="AC286" s="212"/>
      <c r="AD286" s="212"/>
      <c r="AH286" s="184">
        <v>262</v>
      </c>
    </row>
    <row r="287" spans="1:36" x14ac:dyDescent="0.25">
      <c r="A287" s="224" t="s">
        <v>290</v>
      </c>
      <c r="C287" s="212"/>
      <c r="D287" s="213"/>
      <c r="E287" s="213"/>
      <c r="F287" s="221"/>
      <c r="G287" s="215"/>
      <c r="H287" s="216"/>
      <c r="I287" s="215"/>
      <c r="J287" s="215"/>
      <c r="K287" s="215"/>
      <c r="L287" s="213"/>
      <c r="M287" s="213"/>
      <c r="N287" s="213"/>
      <c r="O287" s="213"/>
      <c r="P287" s="213"/>
      <c r="S287" s="218"/>
      <c r="U287" s="224" t="s">
        <v>290</v>
      </c>
      <c r="V287" s="184"/>
      <c r="W287" s="192">
        <v>62</v>
      </c>
      <c r="X287" s="193"/>
      <c r="AA287" s="184"/>
      <c r="AE287" s="194"/>
      <c r="AF287" s="194"/>
      <c r="AH287" s="184">
        <v>263</v>
      </c>
    </row>
    <row r="288" spans="1:36" hidden="1" x14ac:dyDescent="0.25">
      <c r="B288" s="184" t="s">
        <v>291</v>
      </c>
      <c r="C288" s="212">
        <v>10000000</v>
      </c>
      <c r="D288" s="221">
        <v>-3587988.18</v>
      </c>
      <c r="E288" s="213"/>
      <c r="F288" s="221">
        <f>1490667.33+4228928.57+685640.92+6775</f>
        <v>6412011.8200000003</v>
      </c>
      <c r="G288" s="222">
        <v>0</v>
      </c>
      <c r="H288" s="223">
        <v>0</v>
      </c>
      <c r="I288" s="222">
        <v>0</v>
      </c>
      <c r="J288" s="222">
        <v>0</v>
      </c>
      <c r="K288" s="222">
        <v>0</v>
      </c>
      <c r="L288" s="221">
        <f>G288-H288-I288-J288-K288</f>
        <v>0</v>
      </c>
      <c r="M288" s="221"/>
      <c r="N288" s="221"/>
      <c r="O288" s="221">
        <f>H286+K286</f>
        <v>0</v>
      </c>
      <c r="P288" s="221"/>
      <c r="Q288" s="218">
        <v>12</v>
      </c>
      <c r="R288" s="253">
        <v>32</v>
      </c>
      <c r="S288" s="253" t="s">
        <v>249</v>
      </c>
      <c r="T288" s="254"/>
      <c r="V288" s="184" t="s">
        <v>291</v>
      </c>
      <c r="W288" s="192">
        <v>63</v>
      </c>
      <c r="X288" s="193"/>
      <c r="AA288" s="184"/>
      <c r="AE288" s="194">
        <f t="shared" ref="AE288:AE304" si="62">AB288+AC288+AD288</f>
        <v>0</v>
      </c>
      <c r="AF288" s="194"/>
      <c r="AH288" s="184">
        <v>264</v>
      </c>
      <c r="AJ288" s="184">
        <v>0</v>
      </c>
    </row>
    <row r="289" spans="2:36" x14ac:dyDescent="0.25">
      <c r="B289" s="224" t="s">
        <v>201</v>
      </c>
      <c r="C289" s="212"/>
      <c r="D289" s="213"/>
      <c r="E289" s="213"/>
      <c r="F289" s="221"/>
      <c r="G289" s="215"/>
      <c r="H289" s="216"/>
      <c r="I289" s="215"/>
      <c r="J289" s="215"/>
      <c r="K289" s="215"/>
      <c r="L289" s="221"/>
      <c r="M289" s="221"/>
      <c r="N289" s="221"/>
      <c r="O289" s="221"/>
      <c r="P289" s="221"/>
      <c r="S289" s="218"/>
      <c r="V289" s="224" t="s">
        <v>201</v>
      </c>
      <c r="W289" s="192">
        <v>64</v>
      </c>
      <c r="X289" s="193"/>
      <c r="AA289" s="184"/>
      <c r="AE289" s="194">
        <f t="shared" si="62"/>
        <v>0</v>
      </c>
      <c r="AF289" s="194"/>
      <c r="AH289" s="184">
        <v>265</v>
      </c>
    </row>
    <row r="290" spans="2:36" hidden="1" x14ac:dyDescent="0.25">
      <c r="B290" s="184" t="s">
        <v>202</v>
      </c>
      <c r="C290" s="212">
        <v>7300000</v>
      </c>
      <c r="D290" s="213"/>
      <c r="E290" s="213"/>
      <c r="F290" s="221">
        <f>1586225.13+1035205.6+2985974.53+1290489.45+235900.14+166205.15</f>
        <v>7300000</v>
      </c>
      <c r="G290" s="222">
        <v>0</v>
      </c>
      <c r="H290" s="223">
        <v>0</v>
      </c>
      <c r="I290" s="222">
        <v>0</v>
      </c>
      <c r="J290" s="222">
        <v>0</v>
      </c>
      <c r="K290" s="222">
        <v>0</v>
      </c>
      <c r="L290" s="221">
        <f>G290-H290-I290-J290</f>
        <v>0</v>
      </c>
      <c r="M290" s="221"/>
      <c r="N290" s="221"/>
      <c r="O290" s="221">
        <f>H290+I290+J290+K290</f>
        <v>0</v>
      </c>
      <c r="P290" s="221"/>
      <c r="Q290" s="218" t="s">
        <v>250</v>
      </c>
      <c r="R290" s="218">
        <v>32</v>
      </c>
      <c r="S290" s="218" t="s">
        <v>249</v>
      </c>
      <c r="V290" s="184" t="s">
        <v>202</v>
      </c>
      <c r="W290" s="192">
        <v>65</v>
      </c>
      <c r="X290" s="193"/>
      <c r="AA290" s="184"/>
      <c r="AE290" s="194">
        <f t="shared" si="62"/>
        <v>0</v>
      </c>
      <c r="AF290" s="194"/>
      <c r="AH290" s="184">
        <v>266</v>
      </c>
      <c r="AJ290" s="184">
        <v>0</v>
      </c>
    </row>
    <row r="291" spans="2:36" ht="13.5" customHeight="1" x14ac:dyDescent="0.25">
      <c r="B291" s="184" t="s">
        <v>203</v>
      </c>
      <c r="C291" s="212">
        <v>2674000</v>
      </c>
      <c r="E291" s="185">
        <v>-800000</v>
      </c>
      <c r="F291" s="226">
        <f>247579.5+271847.12+26480.3+18123.72+1798.8+65682.01+467252.3+681184.63+1679.43+51875.56+24575.41+271.73+679.68</f>
        <v>1859030.1899999997</v>
      </c>
      <c r="G291" s="222">
        <f>[1]UMB!F333</f>
        <v>14969.809999999772</v>
      </c>
      <c r="H291" s="223">
        <f>[1]UMB!H333</f>
        <v>14969.81</v>
      </c>
      <c r="I291" s="222">
        <v>0</v>
      </c>
      <c r="J291" s="222">
        <v>0</v>
      </c>
      <c r="K291" s="222">
        <v>0</v>
      </c>
      <c r="L291" s="221">
        <f t="shared" ref="L291:L300" si="63">G291-H291-I291-J291-K291</f>
        <v>-2.2737367544323206E-10</v>
      </c>
      <c r="M291" s="221">
        <f>H291-N291-O291</f>
        <v>0</v>
      </c>
      <c r="N291" s="221">
        <v>0</v>
      </c>
      <c r="O291" s="221">
        <v>14969.81</v>
      </c>
      <c r="P291" s="221"/>
      <c r="Q291" s="218" t="s">
        <v>250</v>
      </c>
      <c r="R291" s="218">
        <v>32</v>
      </c>
      <c r="S291" s="218" t="s">
        <v>249</v>
      </c>
      <c r="V291" s="184" t="s">
        <v>203</v>
      </c>
      <c r="W291" s="192">
        <v>66</v>
      </c>
      <c r="X291" s="193"/>
      <c r="AA291" s="184"/>
      <c r="AE291" s="194">
        <f t="shared" si="62"/>
        <v>0</v>
      </c>
      <c r="AF291" s="195">
        <f>C291+D291+E291-F291-G291</f>
        <v>5.1659299060702324E-10</v>
      </c>
      <c r="AH291" s="184">
        <v>267</v>
      </c>
      <c r="AJ291" s="184">
        <v>14969.81</v>
      </c>
    </row>
    <row r="292" spans="2:36" hidden="1" x14ac:dyDescent="0.25">
      <c r="B292" s="184" t="s">
        <v>204</v>
      </c>
      <c r="C292" s="212">
        <v>645000</v>
      </c>
      <c r="D292" s="213"/>
      <c r="E292" s="213"/>
      <c r="F292" s="221">
        <f>552010.38+92989.62</f>
        <v>645000</v>
      </c>
      <c r="G292" s="222">
        <v>0</v>
      </c>
      <c r="H292" s="223">
        <v>0</v>
      </c>
      <c r="I292" s="222">
        <v>0</v>
      </c>
      <c r="J292" s="222">
        <v>0</v>
      </c>
      <c r="K292" s="222">
        <v>0</v>
      </c>
      <c r="L292" s="221">
        <f t="shared" si="63"/>
        <v>0</v>
      </c>
      <c r="M292" s="221"/>
      <c r="N292" s="221"/>
      <c r="O292" s="221">
        <f t="shared" ref="O292:O300" si="64">H292+I292+J292+K292</f>
        <v>0</v>
      </c>
      <c r="P292" s="221"/>
      <c r="Q292" s="218" t="s">
        <v>250</v>
      </c>
      <c r="R292" s="218">
        <v>32</v>
      </c>
      <c r="S292" s="218" t="s">
        <v>249</v>
      </c>
      <c r="V292" s="184" t="s">
        <v>204</v>
      </c>
      <c r="W292" s="192">
        <v>67</v>
      </c>
      <c r="X292" s="193"/>
      <c r="AA292" s="184"/>
      <c r="AE292" s="194">
        <f t="shared" si="62"/>
        <v>0</v>
      </c>
      <c r="AF292" s="194"/>
      <c r="AH292" s="184">
        <v>268</v>
      </c>
      <c r="AJ292" s="184">
        <v>0</v>
      </c>
    </row>
    <row r="293" spans="2:36" hidden="1" x14ac:dyDescent="0.25">
      <c r="B293" s="184" t="s">
        <v>205</v>
      </c>
      <c r="C293" s="212">
        <v>1451000</v>
      </c>
      <c r="D293" s="221">
        <v>-0.4</v>
      </c>
      <c r="E293" s="213"/>
      <c r="F293" s="221">
        <f>72685.58+84332.3+18769.98+600591.65+200303.9+189111.37+27678.28+5000+96937.87+155588.67</f>
        <v>1450999.6</v>
      </c>
      <c r="G293" s="222">
        <v>0</v>
      </c>
      <c r="H293" s="223">
        <v>0</v>
      </c>
      <c r="I293" s="222">
        <v>0</v>
      </c>
      <c r="J293" s="222">
        <v>0</v>
      </c>
      <c r="K293" s="222">
        <v>0</v>
      </c>
      <c r="L293" s="221">
        <f t="shared" si="63"/>
        <v>0</v>
      </c>
      <c r="M293" s="221"/>
      <c r="N293" s="221"/>
      <c r="O293" s="221">
        <f t="shared" si="64"/>
        <v>0</v>
      </c>
      <c r="P293" s="221"/>
      <c r="Q293" s="218" t="s">
        <v>250</v>
      </c>
      <c r="R293" s="218">
        <v>32</v>
      </c>
      <c r="S293" s="218" t="s">
        <v>249</v>
      </c>
      <c r="V293" s="184" t="s">
        <v>205</v>
      </c>
      <c r="W293" s="192">
        <v>68</v>
      </c>
      <c r="X293" s="193"/>
      <c r="AA293" s="184"/>
      <c r="AB293" s="194">
        <v>155588.67000000001</v>
      </c>
      <c r="AE293" s="194">
        <f t="shared" si="62"/>
        <v>155588.67000000001</v>
      </c>
      <c r="AF293" s="194"/>
      <c r="AH293" s="184">
        <v>269</v>
      </c>
      <c r="AJ293" s="184">
        <v>0</v>
      </c>
    </row>
    <row r="294" spans="2:36" hidden="1" x14ac:dyDescent="0.25">
      <c r="B294" s="184" t="s">
        <v>206</v>
      </c>
      <c r="C294" s="212">
        <v>318000</v>
      </c>
      <c r="D294" s="213"/>
      <c r="E294" s="213"/>
      <c r="F294" s="221">
        <f>8056.72+39424.28+260025.8+4241+6252.2</f>
        <v>318000</v>
      </c>
      <c r="G294" s="222">
        <v>0</v>
      </c>
      <c r="H294" s="223">
        <v>0</v>
      </c>
      <c r="I294" s="222">
        <v>0</v>
      </c>
      <c r="J294" s="222">
        <v>0</v>
      </c>
      <c r="K294" s="222">
        <v>0</v>
      </c>
      <c r="L294" s="221">
        <f t="shared" si="63"/>
        <v>0</v>
      </c>
      <c r="M294" s="221"/>
      <c r="N294" s="221"/>
      <c r="O294" s="221">
        <f t="shared" si="64"/>
        <v>0</v>
      </c>
      <c r="P294" s="221"/>
      <c r="Q294" s="218" t="s">
        <v>250</v>
      </c>
      <c r="R294" s="218">
        <v>32</v>
      </c>
      <c r="S294" s="218" t="s">
        <v>249</v>
      </c>
      <c r="V294" s="184" t="s">
        <v>206</v>
      </c>
      <c r="W294" s="192">
        <v>69</v>
      </c>
      <c r="X294" s="193"/>
      <c r="AA294" s="184"/>
      <c r="AE294" s="194">
        <f t="shared" si="62"/>
        <v>0</v>
      </c>
      <c r="AF294" s="194"/>
      <c r="AH294" s="184">
        <v>270</v>
      </c>
      <c r="AJ294" s="184">
        <v>0</v>
      </c>
    </row>
    <row r="295" spans="2:36" hidden="1" x14ac:dyDescent="0.25">
      <c r="B295" s="184" t="s">
        <v>207</v>
      </c>
      <c r="C295" s="212">
        <v>660000</v>
      </c>
      <c r="D295" s="213"/>
      <c r="E295" s="213"/>
      <c r="F295" s="221">
        <f>7000+316983.72+195053.08+17200.1+123763.1</f>
        <v>659999.99999999988</v>
      </c>
      <c r="G295" s="222">
        <v>0</v>
      </c>
      <c r="H295" s="223">
        <v>0</v>
      </c>
      <c r="I295" s="222">
        <v>0</v>
      </c>
      <c r="J295" s="222">
        <v>0</v>
      </c>
      <c r="K295" s="222">
        <v>0</v>
      </c>
      <c r="L295" s="221">
        <f t="shared" si="63"/>
        <v>0</v>
      </c>
      <c r="M295" s="221"/>
      <c r="N295" s="221"/>
      <c r="O295" s="221">
        <f t="shared" si="64"/>
        <v>0</v>
      </c>
      <c r="P295" s="221"/>
      <c r="Q295" s="218" t="s">
        <v>250</v>
      </c>
      <c r="R295" s="218">
        <v>32</v>
      </c>
      <c r="S295" s="218" t="s">
        <v>249</v>
      </c>
      <c r="V295" s="184" t="s">
        <v>207</v>
      </c>
      <c r="W295" s="192">
        <v>70</v>
      </c>
      <c r="X295" s="193"/>
      <c r="AA295" s="184"/>
      <c r="AE295" s="194">
        <f t="shared" si="62"/>
        <v>0</v>
      </c>
      <c r="AF295" s="194"/>
      <c r="AH295" s="184">
        <v>271</v>
      </c>
      <c r="AJ295" s="184">
        <v>0</v>
      </c>
    </row>
    <row r="296" spans="2:36" hidden="1" x14ac:dyDescent="0.25">
      <c r="B296" s="184" t="s">
        <v>208</v>
      </c>
      <c r="C296" s="212">
        <v>410000</v>
      </c>
      <c r="D296" s="213"/>
      <c r="E296" s="213"/>
      <c r="F296" s="221">
        <f>286501.5+123498.5</f>
        <v>410000</v>
      </c>
      <c r="G296" s="222">
        <v>0</v>
      </c>
      <c r="H296" s="223">
        <v>0</v>
      </c>
      <c r="I296" s="222">
        <v>0</v>
      </c>
      <c r="J296" s="222">
        <v>0</v>
      </c>
      <c r="K296" s="222">
        <v>0</v>
      </c>
      <c r="L296" s="221">
        <f t="shared" si="63"/>
        <v>0</v>
      </c>
      <c r="M296" s="221"/>
      <c r="N296" s="221"/>
      <c r="O296" s="221">
        <f t="shared" si="64"/>
        <v>0</v>
      </c>
      <c r="P296" s="221"/>
      <c r="Q296" s="218" t="s">
        <v>250</v>
      </c>
      <c r="R296" s="218">
        <v>32</v>
      </c>
      <c r="S296" s="218" t="s">
        <v>249</v>
      </c>
      <c r="V296" s="184" t="s">
        <v>208</v>
      </c>
      <c r="W296" s="192">
        <v>71</v>
      </c>
      <c r="X296" s="193"/>
      <c r="AA296" s="184"/>
      <c r="AE296" s="194">
        <f t="shared" si="62"/>
        <v>0</v>
      </c>
      <c r="AF296" s="194"/>
      <c r="AH296" s="184">
        <v>272</v>
      </c>
      <c r="AJ296" s="184">
        <v>0</v>
      </c>
    </row>
    <row r="297" spans="2:36" hidden="1" x14ac:dyDescent="0.25">
      <c r="B297" s="184" t="s">
        <v>209</v>
      </c>
      <c r="C297" s="212">
        <v>645000</v>
      </c>
      <c r="D297" s="213"/>
      <c r="E297" s="213"/>
      <c r="F297" s="221">
        <f>314260.2+312045.14+13335+5359.66</f>
        <v>645000.00000000012</v>
      </c>
      <c r="G297" s="222">
        <v>0</v>
      </c>
      <c r="H297" s="223">
        <v>0</v>
      </c>
      <c r="I297" s="222">
        <v>0</v>
      </c>
      <c r="J297" s="222">
        <v>0</v>
      </c>
      <c r="K297" s="222">
        <f>[2]FSU!K170</f>
        <v>0</v>
      </c>
      <c r="L297" s="221">
        <f>G297-H297-I297-J297-K297</f>
        <v>0</v>
      </c>
      <c r="M297" s="221"/>
      <c r="N297" s="221"/>
      <c r="O297" s="221">
        <f t="shared" si="64"/>
        <v>0</v>
      </c>
      <c r="P297" s="221"/>
      <c r="Q297" s="218" t="s">
        <v>250</v>
      </c>
      <c r="R297" s="218">
        <v>32</v>
      </c>
      <c r="S297" s="218" t="s">
        <v>249</v>
      </c>
      <c r="V297" s="184" t="s">
        <v>209</v>
      </c>
      <c r="W297" s="192">
        <v>72</v>
      </c>
      <c r="X297" s="193"/>
      <c r="AA297" s="184"/>
      <c r="AE297" s="194">
        <f t="shared" si="62"/>
        <v>0</v>
      </c>
      <c r="AF297" s="194"/>
      <c r="AH297" s="184">
        <v>273</v>
      </c>
      <c r="AJ297" s="184">
        <v>0</v>
      </c>
    </row>
    <row r="298" spans="2:36" hidden="1" x14ac:dyDescent="0.25">
      <c r="B298" s="184" t="s">
        <v>226</v>
      </c>
      <c r="C298" s="212">
        <v>536000</v>
      </c>
      <c r="D298" s="213"/>
      <c r="E298" s="213"/>
      <c r="F298" s="221">
        <f>248700.5+287299.5</f>
        <v>536000</v>
      </c>
      <c r="G298" s="222">
        <v>0</v>
      </c>
      <c r="H298" s="223">
        <v>0</v>
      </c>
      <c r="I298" s="222">
        <v>0</v>
      </c>
      <c r="J298" s="222">
        <v>0</v>
      </c>
      <c r="K298" s="222">
        <f>[2]SU!K151</f>
        <v>0</v>
      </c>
      <c r="L298" s="221">
        <f t="shared" si="63"/>
        <v>0</v>
      </c>
      <c r="M298" s="221"/>
      <c r="N298" s="221"/>
      <c r="O298" s="221">
        <f t="shared" si="64"/>
        <v>0</v>
      </c>
      <c r="P298" s="221"/>
      <c r="Q298" s="218" t="s">
        <v>250</v>
      </c>
      <c r="R298" s="218">
        <v>32</v>
      </c>
      <c r="S298" s="218" t="s">
        <v>249</v>
      </c>
      <c r="V298" s="184" t="s">
        <v>226</v>
      </c>
      <c r="W298" s="192">
        <v>73</v>
      </c>
      <c r="X298" s="193"/>
      <c r="AA298" s="184"/>
      <c r="AE298" s="194">
        <f t="shared" si="62"/>
        <v>0</v>
      </c>
      <c r="AF298" s="194"/>
      <c r="AH298" s="184">
        <v>274</v>
      </c>
      <c r="AJ298" s="184">
        <v>0</v>
      </c>
    </row>
    <row r="299" spans="2:36" hidden="1" x14ac:dyDescent="0.25">
      <c r="B299" s="184" t="s">
        <v>211</v>
      </c>
      <c r="C299" s="212">
        <v>1589000</v>
      </c>
      <c r="D299" s="213"/>
      <c r="E299" s="213"/>
      <c r="F299" s="221">
        <f>1800+509723+84116.52+68578+170040.86+15741+3765+650035.62+75181.61+10018.39</f>
        <v>1589000</v>
      </c>
      <c r="G299" s="222">
        <v>0</v>
      </c>
      <c r="H299" s="223">
        <v>0</v>
      </c>
      <c r="I299" s="222">
        <v>0</v>
      </c>
      <c r="J299" s="222">
        <v>0</v>
      </c>
      <c r="K299" s="222">
        <v>0</v>
      </c>
      <c r="L299" s="221">
        <f t="shared" si="63"/>
        <v>0</v>
      </c>
      <c r="M299" s="221"/>
      <c r="N299" s="221"/>
      <c r="O299" s="221">
        <f t="shared" si="64"/>
        <v>0</v>
      </c>
      <c r="P299" s="221"/>
      <c r="Q299" s="218" t="s">
        <v>250</v>
      </c>
      <c r="R299" s="218">
        <v>32</v>
      </c>
      <c r="S299" s="218" t="s">
        <v>249</v>
      </c>
      <c r="V299" s="184" t="s">
        <v>211</v>
      </c>
      <c r="W299" s="192">
        <v>74</v>
      </c>
      <c r="X299" s="193"/>
      <c r="AA299" s="184"/>
      <c r="AB299" s="194">
        <v>75181.61</v>
      </c>
      <c r="AE299" s="194">
        <f t="shared" si="62"/>
        <v>75181.61</v>
      </c>
      <c r="AF299" s="194"/>
      <c r="AH299" s="184">
        <v>275</v>
      </c>
      <c r="AJ299" s="184">
        <v>0</v>
      </c>
    </row>
    <row r="300" spans="2:36" hidden="1" x14ac:dyDescent="0.25">
      <c r="B300" s="184" t="s">
        <v>212</v>
      </c>
      <c r="C300" s="212">
        <v>425000</v>
      </c>
      <c r="D300" s="213"/>
      <c r="E300" s="213"/>
      <c r="F300" s="221">
        <f>46860+128116+250024</f>
        <v>425000</v>
      </c>
      <c r="G300" s="222">
        <v>0</v>
      </c>
      <c r="H300" s="223">
        <v>0</v>
      </c>
      <c r="I300" s="222">
        <v>0</v>
      </c>
      <c r="J300" s="222">
        <v>0</v>
      </c>
      <c r="K300" s="222">
        <v>0</v>
      </c>
      <c r="L300" s="221">
        <f t="shared" si="63"/>
        <v>0</v>
      </c>
      <c r="M300" s="221"/>
      <c r="N300" s="221"/>
      <c r="O300" s="221">
        <f t="shared" si="64"/>
        <v>0</v>
      </c>
      <c r="P300" s="221"/>
      <c r="Q300" s="218" t="s">
        <v>250</v>
      </c>
      <c r="R300" s="218">
        <v>32</v>
      </c>
      <c r="S300" s="218" t="s">
        <v>249</v>
      </c>
      <c r="V300" s="184" t="s">
        <v>212</v>
      </c>
      <c r="W300" s="192">
        <v>75</v>
      </c>
      <c r="X300" s="193"/>
      <c r="AA300" s="184"/>
      <c r="AE300" s="194">
        <f t="shared" si="62"/>
        <v>0</v>
      </c>
      <c r="AF300" s="194"/>
      <c r="AH300" s="184">
        <v>276</v>
      </c>
      <c r="AJ300" s="184">
        <v>0</v>
      </c>
    </row>
    <row r="301" spans="2:36" hidden="1" x14ac:dyDescent="0.25">
      <c r="B301" s="224" t="s">
        <v>216</v>
      </c>
      <c r="C301" s="212">
        <v>347000</v>
      </c>
      <c r="D301" s="221"/>
      <c r="E301" s="221">
        <f>800000-800000-90000-175000-82000+80000-80000</f>
        <v>-347000</v>
      </c>
      <c r="F301" s="226"/>
      <c r="G301" s="222"/>
      <c r="H301" s="223"/>
      <c r="I301" s="222"/>
      <c r="J301" s="222"/>
      <c r="K301" s="222"/>
      <c r="L301" s="221"/>
      <c r="M301" s="221"/>
      <c r="N301" s="221"/>
      <c r="O301" s="221"/>
      <c r="P301" s="221"/>
      <c r="Q301" s="218" t="s">
        <v>250</v>
      </c>
      <c r="R301" s="218">
        <v>32</v>
      </c>
      <c r="S301" s="218" t="s">
        <v>249</v>
      </c>
      <c r="V301" s="224" t="s">
        <v>216</v>
      </c>
      <c r="W301" s="192">
        <v>76</v>
      </c>
      <c r="X301" s="193"/>
      <c r="AA301" s="184"/>
      <c r="AE301" s="194">
        <f t="shared" si="62"/>
        <v>0</v>
      </c>
      <c r="AF301" s="194"/>
      <c r="AH301" s="184">
        <v>277</v>
      </c>
    </row>
    <row r="302" spans="2:36" ht="12.75" hidden="1" customHeight="1" x14ac:dyDescent="0.25">
      <c r="B302" s="184" t="s">
        <v>292</v>
      </c>
      <c r="C302" s="212"/>
      <c r="E302" s="221">
        <v>800000</v>
      </c>
      <c r="F302" s="226">
        <f>81417.06+68250.66+63946.13+353280.72+105599.62+3987.61+108205.87+15312.33</f>
        <v>799999.99999999988</v>
      </c>
      <c r="G302" s="222">
        <v>0</v>
      </c>
      <c r="H302" s="223">
        <v>0</v>
      </c>
      <c r="I302" s="222">
        <v>0</v>
      </c>
      <c r="J302" s="222">
        <v>0</v>
      </c>
      <c r="K302" s="222">
        <v>0</v>
      </c>
      <c r="L302" s="221">
        <f>G302-H302-I302-J302-K302</f>
        <v>0</v>
      </c>
      <c r="M302" s="221"/>
      <c r="N302" s="221"/>
      <c r="O302" s="221">
        <f>H302+I302+J302+K302</f>
        <v>0</v>
      </c>
      <c r="P302" s="221"/>
      <c r="Q302" s="218" t="s">
        <v>250</v>
      </c>
      <c r="R302" s="218">
        <v>32</v>
      </c>
      <c r="S302" s="218" t="s">
        <v>249</v>
      </c>
      <c r="V302" s="184" t="s">
        <v>292</v>
      </c>
      <c r="W302" s="192">
        <v>77</v>
      </c>
      <c r="X302" s="193"/>
      <c r="AA302" s="184"/>
      <c r="AE302" s="194">
        <f t="shared" si="62"/>
        <v>0</v>
      </c>
      <c r="AF302" s="194"/>
      <c r="AH302" s="184">
        <v>278</v>
      </c>
      <c r="AJ302" s="184">
        <v>0</v>
      </c>
    </row>
    <row r="303" spans="2:36" hidden="1" x14ac:dyDescent="0.25">
      <c r="B303" s="184" t="s">
        <v>293</v>
      </c>
      <c r="C303" s="212"/>
      <c r="E303" s="221">
        <v>90000</v>
      </c>
      <c r="F303" s="226">
        <f>71795.27+18204.73</f>
        <v>90000</v>
      </c>
      <c r="G303" s="222">
        <v>0</v>
      </c>
      <c r="H303" s="223">
        <v>0</v>
      </c>
      <c r="I303" s="222">
        <v>0</v>
      </c>
      <c r="J303" s="222">
        <v>0</v>
      </c>
      <c r="K303" s="222">
        <v>0</v>
      </c>
      <c r="L303" s="221">
        <f>G303-H303-I303-J303-K303</f>
        <v>0</v>
      </c>
      <c r="M303" s="221"/>
      <c r="N303" s="221"/>
      <c r="O303" s="221">
        <f>H303+I303+J303+K303</f>
        <v>0</v>
      </c>
      <c r="P303" s="221"/>
      <c r="Q303" s="218" t="s">
        <v>250</v>
      </c>
      <c r="R303" s="218">
        <v>32</v>
      </c>
      <c r="S303" s="218" t="s">
        <v>249</v>
      </c>
      <c r="V303" s="184"/>
      <c r="W303" s="192"/>
      <c r="X303" s="193"/>
      <c r="AA303" s="184"/>
      <c r="AE303" s="194">
        <f t="shared" si="62"/>
        <v>0</v>
      </c>
      <c r="AF303" s="194"/>
      <c r="AH303" s="184">
        <v>279</v>
      </c>
      <c r="AJ303" s="184">
        <v>0</v>
      </c>
    </row>
    <row r="304" spans="2:36" hidden="1" x14ac:dyDescent="0.25">
      <c r="B304" s="184" t="s">
        <v>294</v>
      </c>
      <c r="C304" s="212"/>
      <c r="E304" s="221">
        <f>175000+80000</f>
        <v>255000</v>
      </c>
      <c r="F304" s="226">
        <f>248792.86+6207.14</f>
        <v>255000</v>
      </c>
      <c r="G304" s="222">
        <v>0</v>
      </c>
      <c r="H304" s="223">
        <v>0</v>
      </c>
      <c r="I304" s="222">
        <v>0</v>
      </c>
      <c r="J304" s="222">
        <v>0</v>
      </c>
      <c r="K304" s="222">
        <v>0</v>
      </c>
      <c r="L304" s="221">
        <f>G304-H304-I304-J304-K304</f>
        <v>0</v>
      </c>
      <c r="M304" s="221"/>
      <c r="N304" s="221"/>
      <c r="O304" s="221">
        <f>H304+I304+J304+K304</f>
        <v>0</v>
      </c>
      <c r="P304" s="221"/>
      <c r="Q304" s="218" t="s">
        <v>250</v>
      </c>
      <c r="R304" s="218">
        <v>32</v>
      </c>
      <c r="S304" s="218" t="s">
        <v>249</v>
      </c>
      <c r="V304" s="184"/>
      <c r="W304" s="192"/>
      <c r="X304" s="193"/>
      <c r="AA304" s="184"/>
      <c r="AE304" s="194">
        <f t="shared" si="62"/>
        <v>0</v>
      </c>
      <c r="AF304" s="194"/>
      <c r="AH304" s="184">
        <v>280</v>
      </c>
      <c r="AJ304" s="184">
        <v>0</v>
      </c>
    </row>
    <row r="305" spans="1:36" x14ac:dyDescent="0.25">
      <c r="B305" s="224"/>
      <c r="C305" s="212"/>
      <c r="D305" s="221"/>
      <c r="E305" s="213"/>
      <c r="F305" s="221"/>
      <c r="G305" s="215"/>
      <c r="H305" s="216"/>
      <c r="I305" s="215"/>
      <c r="J305" s="215"/>
      <c r="K305" s="215"/>
      <c r="L305" s="213"/>
      <c r="M305" s="213"/>
      <c r="N305" s="213"/>
      <c r="O305" s="213"/>
      <c r="P305" s="213"/>
      <c r="S305" s="218"/>
      <c r="V305" s="224"/>
      <c r="W305" s="192"/>
      <c r="X305" s="193"/>
      <c r="AA305" s="184"/>
      <c r="AE305" s="194"/>
      <c r="AF305" s="194"/>
      <c r="AH305" s="184">
        <v>281</v>
      </c>
    </row>
    <row r="306" spans="1:36" ht="13.8" thickBot="1" x14ac:dyDescent="0.3">
      <c r="B306" s="227" t="s">
        <v>295</v>
      </c>
      <c r="C306" s="228">
        <f>SUM(C288:C304)</f>
        <v>27000000</v>
      </c>
      <c r="D306" s="228">
        <f>SUM(D287:D304)</f>
        <v>-3587988.58</v>
      </c>
      <c r="E306" s="228">
        <f>SUM(E287:E304)</f>
        <v>-2000</v>
      </c>
      <c r="F306" s="251">
        <f t="shared" ref="F306:O306" si="65">SUM(F288:F304)</f>
        <v>23395041.609999999</v>
      </c>
      <c r="G306" s="228">
        <f t="shared" si="65"/>
        <v>14969.809999999772</v>
      </c>
      <c r="H306" s="252">
        <f t="shared" si="65"/>
        <v>14969.81</v>
      </c>
      <c r="I306" s="228">
        <f t="shared" si="65"/>
        <v>0</v>
      </c>
      <c r="J306" s="228">
        <f t="shared" si="65"/>
        <v>0</v>
      </c>
      <c r="K306" s="228">
        <f t="shared" si="65"/>
        <v>0</v>
      </c>
      <c r="L306" s="228">
        <f t="shared" si="65"/>
        <v>-2.2737367544323206E-10</v>
      </c>
      <c r="M306" s="228">
        <f t="shared" si="65"/>
        <v>0</v>
      </c>
      <c r="N306" s="228">
        <f t="shared" si="65"/>
        <v>0</v>
      </c>
      <c r="O306" s="228">
        <f t="shared" si="65"/>
        <v>14969.81</v>
      </c>
      <c r="P306" s="212"/>
      <c r="S306" s="218"/>
      <c r="V306" s="227" t="s">
        <v>295</v>
      </c>
      <c r="W306" s="192">
        <v>79</v>
      </c>
      <c r="X306" s="193"/>
      <c r="AA306" s="184"/>
      <c r="AB306" s="228">
        <f>SUM(AB288:AB304)</f>
        <v>230770.28000000003</v>
      </c>
      <c r="AC306" s="228">
        <f>SUM(AC288:AC304)</f>
        <v>0</v>
      </c>
      <c r="AD306" s="228">
        <f>SUM(AD288:AD304)</f>
        <v>0</v>
      </c>
      <c r="AE306" s="228">
        <f>SUM(AE288:AE304)</f>
        <v>230770.28000000003</v>
      </c>
      <c r="AF306" s="195">
        <f>C306+D306+E306-F306-G306</f>
        <v>2.6120687834918499E-9</v>
      </c>
      <c r="AH306" s="184">
        <v>282</v>
      </c>
      <c r="AJ306" s="184">
        <v>14969.81</v>
      </c>
    </row>
    <row r="307" spans="1:36" ht="13.8" thickTop="1" x14ac:dyDescent="0.25">
      <c r="B307" s="224"/>
      <c r="C307" s="212"/>
      <c r="D307" s="213"/>
      <c r="E307" s="213"/>
      <c r="F307" s="250"/>
      <c r="G307" s="215"/>
      <c r="H307" s="216"/>
      <c r="I307" s="215"/>
      <c r="J307" s="215"/>
      <c r="K307" s="215"/>
      <c r="L307" s="213"/>
      <c r="M307" s="213"/>
      <c r="N307" s="213"/>
      <c r="O307" s="213"/>
      <c r="U307" s="224"/>
      <c r="V307" s="192">
        <v>80</v>
      </c>
      <c r="AH307" s="184">
        <v>283</v>
      </c>
    </row>
    <row r="308" spans="1:36" x14ac:dyDescent="0.25">
      <c r="A308" s="224" t="s">
        <v>296</v>
      </c>
      <c r="C308" s="212"/>
      <c r="D308" s="213"/>
      <c r="E308" s="215"/>
      <c r="F308" s="221"/>
      <c r="G308" s="213"/>
      <c r="H308" s="217"/>
      <c r="I308" s="213"/>
      <c r="J308" s="213"/>
      <c r="K308" s="213"/>
      <c r="L308" s="213"/>
      <c r="M308" s="213"/>
      <c r="N308" s="213"/>
      <c r="O308" s="213"/>
      <c r="T308" s="224" t="s">
        <v>296</v>
      </c>
      <c r="V308" s="192">
        <v>81</v>
      </c>
      <c r="AD308" s="194">
        <f t="shared" ref="AD308:AD328" si="66">AA308+AB308+AC308</f>
        <v>0</v>
      </c>
      <c r="AH308" s="184">
        <v>284</v>
      </c>
    </row>
    <row r="309" spans="1:36" hidden="1" x14ac:dyDescent="0.25">
      <c r="A309" s="224"/>
      <c r="B309" s="184" t="s">
        <v>297</v>
      </c>
      <c r="C309" s="212">
        <v>9000000</v>
      </c>
      <c r="D309" s="213"/>
      <c r="E309" s="215"/>
      <c r="F309" s="221">
        <f>5977649.54+217797.59+2137758.66+6607.32+14930.21+31859.85+29432.82+5202.72+6795.29+69907.85+22554.51+6238.44+282835.57+163400.25+5340.99+21688.39</f>
        <v>9000000</v>
      </c>
      <c r="G309" s="222">
        <v>0</v>
      </c>
      <c r="H309" s="223">
        <v>0</v>
      </c>
      <c r="I309" s="222"/>
      <c r="J309" s="222">
        <v>0</v>
      </c>
      <c r="K309" s="222">
        <v>0</v>
      </c>
      <c r="L309" s="221">
        <f>G309-H309-I309-J309-K309</f>
        <v>0</v>
      </c>
      <c r="M309" s="221"/>
      <c r="N309" s="221"/>
      <c r="O309" s="221">
        <f>H309+I309+J309+K309</f>
        <v>0</v>
      </c>
      <c r="P309" s="218">
        <v>101</v>
      </c>
      <c r="Q309" s="218">
        <v>29</v>
      </c>
      <c r="R309" s="218" t="s">
        <v>249</v>
      </c>
      <c r="T309" s="224"/>
      <c r="U309" s="184" t="s">
        <v>297</v>
      </c>
      <c r="V309" s="192">
        <v>82</v>
      </c>
      <c r="AA309" s="194">
        <v>12233.54</v>
      </c>
      <c r="AB309" s="194">
        <v>3211.58</v>
      </c>
      <c r="AD309" s="194">
        <f t="shared" si="66"/>
        <v>15445.12</v>
      </c>
      <c r="AH309" s="184">
        <v>285</v>
      </c>
      <c r="AJ309" s="184">
        <v>0</v>
      </c>
    </row>
    <row r="310" spans="1:36" hidden="1" x14ac:dyDescent="0.25">
      <c r="A310" s="224"/>
      <c r="B310" s="184" t="s">
        <v>298</v>
      </c>
      <c r="C310" s="212">
        <v>1000000</v>
      </c>
      <c r="D310" s="213"/>
      <c r="E310" s="215"/>
      <c r="F310" s="221">
        <f>16000+12600+34902+936498</f>
        <v>1000000</v>
      </c>
      <c r="G310" s="222">
        <v>0</v>
      </c>
      <c r="H310" s="223">
        <v>0</v>
      </c>
      <c r="I310" s="222"/>
      <c r="J310" s="222">
        <v>0</v>
      </c>
      <c r="K310" s="222">
        <v>0</v>
      </c>
      <c r="L310" s="221">
        <f>G310-H310-I310-J310</f>
        <v>0</v>
      </c>
      <c r="M310" s="221"/>
      <c r="N310" s="221"/>
      <c r="O310" s="221">
        <f>H310+I310+J310+K310</f>
        <v>0</v>
      </c>
      <c r="P310" s="218">
        <v>13</v>
      </c>
      <c r="Q310" s="253">
        <v>29</v>
      </c>
      <c r="R310" s="253" t="s">
        <v>249</v>
      </c>
      <c r="T310" s="224"/>
      <c r="U310" s="184" t="s">
        <v>298</v>
      </c>
      <c r="V310" s="192">
        <v>83</v>
      </c>
      <c r="AD310" s="194">
        <f t="shared" si="66"/>
        <v>0</v>
      </c>
      <c r="AH310" s="184">
        <v>286</v>
      </c>
      <c r="AJ310" s="184">
        <v>0</v>
      </c>
    </row>
    <row r="311" spans="1:36" x14ac:dyDescent="0.25">
      <c r="A311" s="224"/>
      <c r="B311" s="224" t="s">
        <v>201</v>
      </c>
      <c r="C311" s="212"/>
      <c r="D311" s="213"/>
      <c r="E311" s="215"/>
      <c r="F311" s="221"/>
      <c r="G311" s="221"/>
      <c r="H311" s="226"/>
      <c r="I311" s="221"/>
      <c r="J311" s="221"/>
      <c r="K311" s="221"/>
      <c r="L311" s="221"/>
      <c r="M311" s="221"/>
      <c r="N311" s="221"/>
      <c r="O311" s="221"/>
      <c r="T311" s="224"/>
      <c r="U311" s="224" t="s">
        <v>201</v>
      </c>
      <c r="V311" s="192">
        <v>84</v>
      </c>
      <c r="AD311" s="194">
        <f t="shared" si="66"/>
        <v>0</v>
      </c>
      <c r="AH311" s="184">
        <v>287</v>
      </c>
    </row>
    <row r="312" spans="1:36" ht="12.75" hidden="1" customHeight="1" x14ac:dyDescent="0.25">
      <c r="A312" s="224"/>
      <c r="B312" s="184" t="s">
        <v>202</v>
      </c>
      <c r="C312" s="212">
        <v>7060000</v>
      </c>
      <c r="D312" s="213"/>
      <c r="E312" s="215"/>
      <c r="F312" s="221">
        <f>1546923.37+1447116.35+1273174.6+1135336.22+666923.08+196580.58+793945.8</f>
        <v>7060000</v>
      </c>
      <c r="G312" s="221">
        <v>0</v>
      </c>
      <c r="H312" s="226">
        <v>0</v>
      </c>
      <c r="I312" s="221">
        <v>0</v>
      </c>
      <c r="J312" s="221">
        <v>0</v>
      </c>
      <c r="K312" s="221">
        <v>0</v>
      </c>
      <c r="L312" s="221">
        <v>0</v>
      </c>
      <c r="M312" s="221"/>
      <c r="N312" s="221"/>
      <c r="O312" s="221">
        <f>H312+I312+J312+K312</f>
        <v>0</v>
      </c>
      <c r="P312" s="218" t="s">
        <v>250</v>
      </c>
      <c r="Q312" s="218">
        <v>29</v>
      </c>
      <c r="R312" s="218" t="s">
        <v>249</v>
      </c>
      <c r="T312" s="224"/>
      <c r="U312" s="184" t="s">
        <v>202</v>
      </c>
      <c r="V312" s="192">
        <v>85</v>
      </c>
      <c r="AD312" s="194">
        <f t="shared" si="66"/>
        <v>0</v>
      </c>
      <c r="AH312" s="184">
        <v>288</v>
      </c>
      <c r="AJ312" s="184">
        <v>0</v>
      </c>
    </row>
    <row r="313" spans="1:36" x14ac:dyDescent="0.25">
      <c r="A313" s="224"/>
      <c r="B313" s="184" t="s">
        <v>203</v>
      </c>
      <c r="C313" s="212">
        <v>2515000</v>
      </c>
      <c r="D313" s="221"/>
      <c r="E313" s="215"/>
      <c r="F313" s="221">
        <f>95799+121126.6+382459+312204.5+91850.75+520650.28+194790.24+138986.95+1242.65+83400.01+10990.51+50953.36+313263.98+113226.25+37149.1+20376.32+588+7140+4708.2+235.2</f>
        <v>2501140.9000000004</v>
      </c>
      <c r="G313" s="221">
        <f>[1]UMB!F365</f>
        <v>13859.099999999868</v>
      </c>
      <c r="H313" s="226">
        <f>[1]UMB!H365</f>
        <v>13859.1</v>
      </c>
      <c r="I313" s="221">
        <f>[1]UMB!I365</f>
        <v>0</v>
      </c>
      <c r="J313" s="221">
        <f>[1]UMB!J365</f>
        <v>0</v>
      </c>
      <c r="K313" s="221">
        <f>[1]UMB!K365</f>
        <v>0</v>
      </c>
      <c r="L313" s="221">
        <f t="shared" ref="L313:L323" si="67">G313-H313-I313-J313-K313</f>
        <v>-1.3278622645884752E-10</v>
      </c>
      <c r="M313" s="221">
        <f>H313-N313-O313</f>
        <v>0</v>
      </c>
      <c r="N313" s="221">
        <v>0</v>
      </c>
      <c r="O313" s="221">
        <v>13859.1</v>
      </c>
      <c r="P313" s="218" t="s">
        <v>250</v>
      </c>
      <c r="Q313" s="218">
        <v>29</v>
      </c>
      <c r="R313" s="218" t="s">
        <v>249</v>
      </c>
      <c r="T313" s="224"/>
      <c r="U313" s="184" t="s">
        <v>203</v>
      </c>
      <c r="V313" s="192">
        <v>86</v>
      </c>
      <c r="AA313" s="194">
        <v>14582</v>
      </c>
      <c r="AB313" s="194">
        <v>588</v>
      </c>
      <c r="AD313" s="194">
        <f t="shared" si="66"/>
        <v>15170</v>
      </c>
      <c r="AF313" s="195">
        <f>C313+D313+E313-F313-G313</f>
        <v>-2.4010660126805305E-10</v>
      </c>
      <c r="AH313" s="184">
        <v>289</v>
      </c>
      <c r="AJ313" s="184">
        <v>13859.1</v>
      </c>
    </row>
    <row r="314" spans="1:36" hidden="1" x14ac:dyDescent="0.25">
      <c r="A314" s="224"/>
      <c r="B314" s="184" t="s">
        <v>299</v>
      </c>
      <c r="C314" s="212">
        <v>568000</v>
      </c>
      <c r="D314" s="221"/>
      <c r="E314" s="222">
        <v>-311231.58</v>
      </c>
      <c r="F314" s="221">
        <f>56077+12000+96109.43+78749.97+1280.78+9591.83+2959.41</f>
        <v>256768.41999999998</v>
      </c>
      <c r="G314" s="221">
        <f>[1]UMBI!F65</f>
        <v>0</v>
      </c>
      <c r="H314" s="226">
        <f>[1]UMBI!H65</f>
        <v>0</v>
      </c>
      <c r="I314" s="221">
        <f>[1]UMBI!I65</f>
        <v>0</v>
      </c>
      <c r="J314" s="221">
        <f>[1]UMBI!J65</f>
        <v>0</v>
      </c>
      <c r="K314" s="221">
        <f>[1]UMBI!K65</f>
        <v>0</v>
      </c>
      <c r="L314" s="221">
        <f t="shared" si="67"/>
        <v>0</v>
      </c>
      <c r="M314" s="221"/>
      <c r="N314" s="221"/>
      <c r="O314" s="221">
        <f t="shared" ref="O314:O323" si="68">H314+I314+J314+K314</f>
        <v>0</v>
      </c>
      <c r="P314" s="218" t="s">
        <v>250</v>
      </c>
      <c r="Q314" s="218">
        <v>29</v>
      </c>
      <c r="R314" s="218" t="s">
        <v>249</v>
      </c>
      <c r="T314" s="224"/>
      <c r="U314" s="184" t="s">
        <v>299</v>
      </c>
      <c r="V314" s="192">
        <v>87</v>
      </c>
      <c r="AD314" s="194">
        <f t="shared" si="66"/>
        <v>0</v>
      </c>
      <c r="AH314" s="184">
        <v>290</v>
      </c>
      <c r="AJ314" s="184">
        <v>0</v>
      </c>
    </row>
    <row r="315" spans="1:36" hidden="1" x14ac:dyDescent="0.25">
      <c r="A315" s="224"/>
      <c r="B315" s="184" t="s">
        <v>204</v>
      </c>
      <c r="C315" s="212">
        <v>642000</v>
      </c>
      <c r="D315" s="221">
        <v>-76885.95</v>
      </c>
      <c r="E315" s="222"/>
      <c r="F315" s="226">
        <f>192000+99265.52+176366.44+44494.69+35172.5+1180+8589.9+8045</f>
        <v>565114.05000000005</v>
      </c>
      <c r="G315" s="222">
        <v>0</v>
      </c>
      <c r="H315" s="223">
        <v>0</v>
      </c>
      <c r="I315" s="222"/>
      <c r="J315" s="222">
        <v>0</v>
      </c>
      <c r="K315" s="222">
        <v>0</v>
      </c>
      <c r="L315" s="221">
        <f t="shared" si="67"/>
        <v>0</v>
      </c>
      <c r="M315" s="221"/>
      <c r="N315" s="221"/>
      <c r="O315" s="221">
        <f t="shared" si="68"/>
        <v>0</v>
      </c>
      <c r="P315" s="218" t="s">
        <v>250</v>
      </c>
      <c r="Q315" s="218">
        <v>29</v>
      </c>
      <c r="R315" s="218" t="s">
        <v>249</v>
      </c>
      <c r="T315" s="224"/>
      <c r="U315" s="184" t="s">
        <v>204</v>
      </c>
      <c r="V315" s="192">
        <v>88</v>
      </c>
      <c r="AD315" s="194">
        <f t="shared" si="66"/>
        <v>0</v>
      </c>
      <c r="AH315" s="184">
        <v>291</v>
      </c>
      <c r="AJ315" s="184">
        <v>0</v>
      </c>
    </row>
    <row r="316" spans="1:36" hidden="1" x14ac:dyDescent="0.25">
      <c r="A316" s="224"/>
      <c r="B316" s="184" t="s">
        <v>205</v>
      </c>
      <c r="C316" s="212">
        <v>1247000</v>
      </c>
      <c r="D316" s="221"/>
      <c r="E316" s="215"/>
      <c r="F316" s="221">
        <f>240381.96+696788.93+130744.47+128930.15+10239.46+279.7+39635.33</f>
        <v>1247000</v>
      </c>
      <c r="G316" s="222">
        <v>0</v>
      </c>
      <c r="H316" s="223">
        <v>0</v>
      </c>
      <c r="I316" s="222"/>
      <c r="J316" s="222">
        <v>0</v>
      </c>
      <c r="K316" s="222">
        <v>0</v>
      </c>
      <c r="L316" s="221">
        <f t="shared" si="67"/>
        <v>0</v>
      </c>
      <c r="M316" s="221"/>
      <c r="N316" s="221"/>
      <c r="O316" s="221">
        <f t="shared" si="68"/>
        <v>0</v>
      </c>
      <c r="P316" s="218" t="s">
        <v>250</v>
      </c>
      <c r="Q316" s="218">
        <v>29</v>
      </c>
      <c r="R316" s="218" t="s">
        <v>249</v>
      </c>
      <c r="T316" s="224"/>
      <c r="U316" s="184" t="s">
        <v>205</v>
      </c>
      <c r="V316" s="192">
        <v>89</v>
      </c>
      <c r="AD316" s="194">
        <f t="shared" si="66"/>
        <v>0</v>
      </c>
      <c r="AH316" s="184">
        <v>292</v>
      </c>
      <c r="AJ316" s="184">
        <v>0</v>
      </c>
    </row>
    <row r="317" spans="1:36" hidden="1" x14ac:dyDescent="0.25">
      <c r="A317" s="224"/>
      <c r="B317" s="184" t="s">
        <v>206</v>
      </c>
      <c r="C317" s="212">
        <v>317000</v>
      </c>
      <c r="D317" s="221"/>
      <c r="E317" s="215"/>
      <c r="F317" s="221">
        <f>11475+138157.46+57562.54+109805</f>
        <v>317000</v>
      </c>
      <c r="G317" s="222">
        <v>0</v>
      </c>
      <c r="H317" s="223">
        <v>0</v>
      </c>
      <c r="I317" s="222"/>
      <c r="J317" s="222">
        <v>0</v>
      </c>
      <c r="K317" s="222">
        <v>0</v>
      </c>
      <c r="L317" s="221">
        <f t="shared" si="67"/>
        <v>0</v>
      </c>
      <c r="M317" s="221"/>
      <c r="N317" s="221"/>
      <c r="O317" s="221">
        <f t="shared" si="68"/>
        <v>0</v>
      </c>
      <c r="P317" s="218" t="s">
        <v>250</v>
      </c>
      <c r="Q317" s="218">
        <v>29</v>
      </c>
      <c r="R317" s="218" t="s">
        <v>249</v>
      </c>
      <c r="T317" s="224"/>
      <c r="U317" s="184" t="s">
        <v>206</v>
      </c>
      <c r="V317" s="192">
        <v>90</v>
      </c>
      <c r="AD317" s="194">
        <f t="shared" si="66"/>
        <v>0</v>
      </c>
      <c r="AH317" s="184">
        <v>293</v>
      </c>
      <c r="AJ317" s="184">
        <v>0</v>
      </c>
    </row>
    <row r="318" spans="1:36" hidden="1" x14ac:dyDescent="0.25">
      <c r="A318" s="224"/>
      <c r="B318" s="184" t="s">
        <v>207</v>
      </c>
      <c r="C318" s="212">
        <v>554000</v>
      </c>
      <c r="D318" s="221"/>
      <c r="E318" s="215"/>
      <c r="F318" s="221">
        <f>286415+179353.1-127025.1+82343.07+132381.4+532.53</f>
        <v>554000</v>
      </c>
      <c r="G318" s="222">
        <v>0</v>
      </c>
      <c r="H318" s="223">
        <v>0</v>
      </c>
      <c r="I318" s="222"/>
      <c r="J318" s="222">
        <v>0</v>
      </c>
      <c r="K318" s="222">
        <v>0</v>
      </c>
      <c r="L318" s="221">
        <f t="shared" si="67"/>
        <v>0</v>
      </c>
      <c r="M318" s="221"/>
      <c r="N318" s="221"/>
      <c r="O318" s="221">
        <f t="shared" si="68"/>
        <v>0</v>
      </c>
      <c r="P318" s="218" t="s">
        <v>250</v>
      </c>
      <c r="Q318" s="218">
        <v>29</v>
      </c>
      <c r="R318" s="218" t="s">
        <v>249</v>
      </c>
      <c r="T318" s="224"/>
      <c r="U318" s="184" t="s">
        <v>207</v>
      </c>
      <c r="V318" s="192">
        <v>91</v>
      </c>
      <c r="AA318" s="194">
        <v>95772.29</v>
      </c>
      <c r="AD318" s="194">
        <f t="shared" si="66"/>
        <v>95772.29</v>
      </c>
      <c r="AH318" s="184">
        <v>294</v>
      </c>
      <c r="AJ318" s="184">
        <v>0</v>
      </c>
    </row>
    <row r="319" spans="1:36" ht="12" hidden="1" customHeight="1" x14ac:dyDescent="0.25">
      <c r="A319" s="224"/>
      <c r="B319" s="184" t="s">
        <v>208</v>
      </c>
      <c r="C319" s="212">
        <v>409000</v>
      </c>
      <c r="D319" s="226">
        <v>-8568.82</v>
      </c>
      <c r="E319" s="215"/>
      <c r="F319" s="226">
        <f>108040+77049+82340+68444.01+7410+36958.17+20190</f>
        <v>400431.18</v>
      </c>
      <c r="G319" s="222">
        <v>0</v>
      </c>
      <c r="H319" s="223">
        <v>0</v>
      </c>
      <c r="I319" s="222"/>
      <c r="J319" s="222">
        <v>0</v>
      </c>
      <c r="K319" s="222">
        <v>0</v>
      </c>
      <c r="L319" s="221">
        <f t="shared" si="67"/>
        <v>0</v>
      </c>
      <c r="M319" s="221"/>
      <c r="N319" s="221"/>
      <c r="O319" s="221">
        <f t="shared" si="68"/>
        <v>0</v>
      </c>
      <c r="P319" s="218" t="s">
        <v>250</v>
      </c>
      <c r="Q319" s="218">
        <v>29</v>
      </c>
      <c r="R319" s="218" t="s">
        <v>249</v>
      </c>
      <c r="T319" s="224"/>
      <c r="U319" s="184" t="s">
        <v>208</v>
      </c>
      <c r="V319" s="192">
        <v>92</v>
      </c>
      <c r="AD319" s="194">
        <f t="shared" si="66"/>
        <v>0</v>
      </c>
      <c r="AH319" s="184">
        <v>295</v>
      </c>
      <c r="AJ319" s="184">
        <v>0</v>
      </c>
    </row>
    <row r="320" spans="1:36" hidden="1" x14ac:dyDescent="0.25">
      <c r="A320" s="224"/>
      <c r="B320" s="184" t="s">
        <v>209</v>
      </c>
      <c r="C320" s="212">
        <v>645000</v>
      </c>
      <c r="D320" s="196"/>
      <c r="E320" s="221">
        <f>-200000-245000</f>
        <v>-445000</v>
      </c>
      <c r="F320" s="221">
        <f>105562.16+60760.54+24788.48+8888.82</f>
        <v>200000.00000000003</v>
      </c>
      <c r="G320" s="222">
        <v>0</v>
      </c>
      <c r="H320" s="223">
        <v>0</v>
      </c>
      <c r="I320" s="222"/>
      <c r="J320" s="222">
        <v>0</v>
      </c>
      <c r="K320" s="222">
        <v>0</v>
      </c>
      <c r="L320" s="221">
        <f t="shared" si="67"/>
        <v>0</v>
      </c>
      <c r="M320" s="221"/>
      <c r="N320" s="221"/>
      <c r="O320" s="221">
        <f t="shared" si="68"/>
        <v>0</v>
      </c>
      <c r="P320" s="218" t="s">
        <v>250</v>
      </c>
      <c r="Q320" s="218">
        <v>29</v>
      </c>
      <c r="R320" s="218" t="s">
        <v>249</v>
      </c>
      <c r="T320" s="224"/>
      <c r="U320" s="184" t="s">
        <v>209</v>
      </c>
      <c r="V320" s="192">
        <v>93</v>
      </c>
      <c r="AD320" s="194">
        <f t="shared" si="66"/>
        <v>0</v>
      </c>
      <c r="AH320" s="184">
        <v>296</v>
      </c>
      <c r="AJ320" s="184">
        <v>0</v>
      </c>
    </row>
    <row r="321" spans="1:36" hidden="1" x14ac:dyDescent="0.25">
      <c r="A321" s="224"/>
      <c r="B321" s="184" t="s">
        <v>226</v>
      </c>
      <c r="C321" s="212">
        <v>536000</v>
      </c>
      <c r="D321" s="221"/>
      <c r="E321" s="215"/>
      <c r="F321" s="221">
        <f>532299.33+3700.67</f>
        <v>536000</v>
      </c>
      <c r="G321" s="222">
        <v>0</v>
      </c>
      <c r="H321" s="223">
        <v>0</v>
      </c>
      <c r="I321" s="222"/>
      <c r="J321" s="222">
        <v>0</v>
      </c>
      <c r="K321" s="222">
        <v>0</v>
      </c>
      <c r="L321" s="221">
        <f t="shared" si="67"/>
        <v>0</v>
      </c>
      <c r="M321" s="221"/>
      <c r="N321" s="221"/>
      <c r="O321" s="221">
        <f t="shared" si="68"/>
        <v>0</v>
      </c>
      <c r="P321" s="218" t="s">
        <v>250</v>
      </c>
      <c r="Q321" s="218">
        <v>29</v>
      </c>
      <c r="R321" s="218" t="s">
        <v>249</v>
      </c>
      <c r="T321" s="224"/>
      <c r="U321" s="184" t="s">
        <v>226</v>
      </c>
      <c r="V321" s="192">
        <v>94</v>
      </c>
      <c r="AD321" s="194">
        <f t="shared" si="66"/>
        <v>0</v>
      </c>
      <c r="AH321" s="184">
        <v>297</v>
      </c>
      <c r="AJ321" s="184">
        <v>0</v>
      </c>
    </row>
    <row r="322" spans="1:36" hidden="1" x14ac:dyDescent="0.25">
      <c r="A322" s="224"/>
      <c r="B322" s="184" t="s">
        <v>211</v>
      </c>
      <c r="C322" s="212">
        <v>1589000</v>
      </c>
      <c r="D322" s="221"/>
      <c r="E322" s="215"/>
      <c r="F322" s="221">
        <f>209782.92+216303.98+5869.82+689000+2483.6+465269.68+290</f>
        <v>1589000</v>
      </c>
      <c r="G322" s="222">
        <v>0</v>
      </c>
      <c r="H322" s="223">
        <v>0</v>
      </c>
      <c r="I322" s="222"/>
      <c r="J322" s="222">
        <v>0</v>
      </c>
      <c r="K322" s="222">
        <v>0</v>
      </c>
      <c r="L322" s="221">
        <f t="shared" si="67"/>
        <v>0</v>
      </c>
      <c r="M322" s="221"/>
      <c r="N322" s="221"/>
      <c r="O322" s="221">
        <f t="shared" si="68"/>
        <v>0</v>
      </c>
      <c r="P322" s="218" t="s">
        <v>250</v>
      </c>
      <c r="Q322" s="218">
        <v>29</v>
      </c>
      <c r="R322" s="218" t="s">
        <v>249</v>
      </c>
      <c r="T322" s="224"/>
      <c r="U322" s="184" t="s">
        <v>211</v>
      </c>
      <c r="V322" s="192">
        <v>95</v>
      </c>
      <c r="AD322" s="194">
        <f t="shared" si="66"/>
        <v>0</v>
      </c>
      <c r="AH322" s="184">
        <v>298</v>
      </c>
      <c r="AJ322" s="184">
        <v>0</v>
      </c>
    </row>
    <row r="323" spans="1:36" hidden="1" x14ac:dyDescent="0.25">
      <c r="A323" s="224"/>
      <c r="B323" s="184" t="s">
        <v>212</v>
      </c>
      <c r="C323" s="212">
        <v>418000</v>
      </c>
      <c r="D323" s="213"/>
      <c r="E323" s="215"/>
      <c r="F323" s="221">
        <f>33775+86196.55+298028.45</f>
        <v>418000</v>
      </c>
      <c r="G323" s="222">
        <v>0</v>
      </c>
      <c r="H323" s="223">
        <v>0</v>
      </c>
      <c r="I323" s="222"/>
      <c r="J323" s="222">
        <v>0</v>
      </c>
      <c r="K323" s="222">
        <v>0</v>
      </c>
      <c r="L323" s="221">
        <f t="shared" si="67"/>
        <v>0</v>
      </c>
      <c r="M323" s="221"/>
      <c r="N323" s="221"/>
      <c r="O323" s="221">
        <f t="shared" si="68"/>
        <v>0</v>
      </c>
      <c r="P323" s="218" t="s">
        <v>250</v>
      </c>
      <c r="Q323" s="218">
        <v>29</v>
      </c>
      <c r="R323" s="218" t="s">
        <v>249</v>
      </c>
      <c r="T323" s="224"/>
      <c r="U323" s="184" t="s">
        <v>212</v>
      </c>
      <c r="V323" s="192">
        <v>96</v>
      </c>
      <c r="AD323" s="194">
        <f t="shared" si="66"/>
        <v>0</v>
      </c>
      <c r="AH323" s="184">
        <v>299</v>
      </c>
      <c r="AJ323" s="184">
        <v>0</v>
      </c>
    </row>
    <row r="324" spans="1:36" hidden="1" x14ac:dyDescent="0.25">
      <c r="A324" s="224"/>
      <c r="B324" s="224" t="s">
        <v>216</v>
      </c>
      <c r="C324" s="212">
        <v>500000</v>
      </c>
      <c r="E324" s="221">
        <f>200000+245000-200000-245000-30290-23236-75000-250000-68000-5000-48474</f>
        <v>-500000</v>
      </c>
      <c r="F324" s="221"/>
      <c r="G324" s="221">
        <f>'[1]Emergency Funds'!G150</f>
        <v>0</v>
      </c>
      <c r="H324" s="226"/>
      <c r="I324" s="221"/>
      <c r="J324" s="221"/>
      <c r="K324" s="221"/>
      <c r="L324" s="221"/>
      <c r="M324" s="221"/>
      <c r="N324" s="221"/>
      <c r="O324" s="221"/>
      <c r="P324" s="218" t="s">
        <v>250</v>
      </c>
      <c r="Q324" s="218">
        <v>29</v>
      </c>
      <c r="R324" s="218" t="s">
        <v>249</v>
      </c>
      <c r="T324" s="224"/>
      <c r="U324" s="224" t="s">
        <v>216</v>
      </c>
      <c r="V324" s="192">
        <v>97</v>
      </c>
      <c r="AD324" s="194">
        <f t="shared" si="66"/>
        <v>0</v>
      </c>
      <c r="AH324" s="184">
        <v>300</v>
      </c>
    </row>
    <row r="325" spans="1:36" hidden="1" x14ac:dyDescent="0.25">
      <c r="A325" s="224"/>
      <c r="B325" s="184" t="s">
        <v>300</v>
      </c>
      <c r="C325" s="212"/>
      <c r="E325" s="221">
        <v>75000</v>
      </c>
      <c r="F325" s="221">
        <f>75000</f>
        <v>75000</v>
      </c>
      <c r="G325" s="221">
        <v>0</v>
      </c>
      <c r="H325" s="226">
        <v>0</v>
      </c>
      <c r="I325" s="221">
        <v>0</v>
      </c>
      <c r="J325" s="221">
        <v>0</v>
      </c>
      <c r="K325" s="221">
        <v>0</v>
      </c>
      <c r="L325" s="221">
        <v>0</v>
      </c>
      <c r="M325" s="221"/>
      <c r="N325" s="221"/>
      <c r="O325" s="221">
        <f t="shared" ref="O325:O330" si="69">H325+I325+J325+K325</f>
        <v>0</v>
      </c>
      <c r="P325" s="218" t="s">
        <v>250</v>
      </c>
      <c r="Q325" s="218">
        <v>29</v>
      </c>
      <c r="R325" s="218" t="s">
        <v>249</v>
      </c>
      <c r="T325" s="224"/>
      <c r="U325" s="184" t="s">
        <v>300</v>
      </c>
      <c r="V325" s="192">
        <v>98</v>
      </c>
      <c r="AD325" s="194">
        <f t="shared" si="66"/>
        <v>0</v>
      </c>
      <c r="AH325" s="184">
        <v>301</v>
      </c>
      <c r="AJ325" s="184">
        <v>0</v>
      </c>
    </row>
    <row r="326" spans="1:36" hidden="1" x14ac:dyDescent="0.25">
      <c r="A326" s="224"/>
      <c r="B326" s="184" t="s">
        <v>301</v>
      </c>
      <c r="C326" s="194"/>
      <c r="E326" s="255">
        <f>30290+23236</f>
        <v>53526</v>
      </c>
      <c r="F326" s="221">
        <f>53526</f>
        <v>53526</v>
      </c>
      <c r="G326" s="222">
        <v>0</v>
      </c>
      <c r="H326" s="223">
        <v>0</v>
      </c>
      <c r="I326" s="222"/>
      <c r="J326" s="222">
        <v>0</v>
      </c>
      <c r="K326" s="222">
        <v>0</v>
      </c>
      <c r="L326" s="221">
        <f>G326-H326-I326-J326-K326</f>
        <v>0</v>
      </c>
      <c r="M326" s="221"/>
      <c r="N326" s="221"/>
      <c r="O326" s="221">
        <f t="shared" si="69"/>
        <v>0</v>
      </c>
      <c r="P326" s="218" t="s">
        <v>250</v>
      </c>
      <c r="Q326" s="218">
        <v>29</v>
      </c>
      <c r="R326" s="218" t="s">
        <v>249</v>
      </c>
      <c r="T326" s="224"/>
      <c r="U326" s="184" t="s">
        <v>301</v>
      </c>
      <c r="V326" s="192">
        <v>99</v>
      </c>
      <c r="AD326" s="194">
        <f t="shared" si="66"/>
        <v>0</v>
      </c>
      <c r="AH326" s="184">
        <v>302</v>
      </c>
      <c r="AJ326" s="184">
        <v>0</v>
      </c>
    </row>
    <row r="327" spans="1:36" hidden="1" x14ac:dyDescent="0.25">
      <c r="A327" s="224"/>
      <c r="B327" s="256" t="s">
        <v>302</v>
      </c>
      <c r="C327" s="212"/>
      <c r="E327" s="221">
        <v>250000</v>
      </c>
      <c r="F327" s="221">
        <f>250000</f>
        <v>250000</v>
      </c>
      <c r="G327" s="222">
        <v>0</v>
      </c>
      <c r="H327" s="223">
        <v>0</v>
      </c>
      <c r="I327" s="222"/>
      <c r="J327" s="222">
        <v>0</v>
      </c>
      <c r="K327" s="222">
        <v>0</v>
      </c>
      <c r="L327" s="221">
        <f>G327-H327-I327-J327-K327</f>
        <v>0</v>
      </c>
      <c r="M327" s="221"/>
      <c r="N327" s="221"/>
      <c r="O327" s="221">
        <f t="shared" si="69"/>
        <v>0</v>
      </c>
      <c r="P327" s="218" t="s">
        <v>250</v>
      </c>
      <c r="Q327" s="218">
        <v>29</v>
      </c>
      <c r="R327" s="218" t="s">
        <v>249</v>
      </c>
      <c r="T327" s="224"/>
      <c r="U327" s="256" t="s">
        <v>302</v>
      </c>
      <c r="V327" s="192">
        <v>100</v>
      </c>
      <c r="AD327" s="194">
        <f t="shared" si="66"/>
        <v>0</v>
      </c>
      <c r="AH327" s="184">
        <v>303</v>
      </c>
      <c r="AJ327" s="184">
        <v>0</v>
      </c>
    </row>
    <row r="328" spans="1:36" hidden="1" x14ac:dyDescent="0.25">
      <c r="A328" s="224"/>
      <c r="B328" s="256" t="s">
        <v>303</v>
      </c>
      <c r="C328" s="212"/>
      <c r="E328" s="221">
        <f>68000+5000-30</f>
        <v>72970</v>
      </c>
      <c r="F328" s="226">
        <f>72970</f>
        <v>72970</v>
      </c>
      <c r="G328" s="222">
        <v>0</v>
      </c>
      <c r="H328" s="223">
        <v>0</v>
      </c>
      <c r="I328" s="222"/>
      <c r="J328" s="222">
        <v>0</v>
      </c>
      <c r="K328" s="222">
        <v>0</v>
      </c>
      <c r="L328" s="221">
        <f>G328-H328-I328-J328-K328</f>
        <v>0</v>
      </c>
      <c r="M328" s="221"/>
      <c r="N328" s="221"/>
      <c r="O328" s="221">
        <f t="shared" si="69"/>
        <v>0</v>
      </c>
      <c r="P328" s="218" t="s">
        <v>250</v>
      </c>
      <c r="Q328" s="218">
        <v>29</v>
      </c>
      <c r="R328" s="218" t="s">
        <v>249</v>
      </c>
      <c r="T328" s="224"/>
      <c r="U328" s="256" t="s">
        <v>303</v>
      </c>
      <c r="AD328" s="194">
        <f t="shared" si="66"/>
        <v>0</v>
      </c>
      <c r="AH328" s="184">
        <v>304</v>
      </c>
      <c r="AJ328" s="184">
        <v>0</v>
      </c>
    </row>
    <row r="329" spans="1:36" hidden="1" x14ac:dyDescent="0.25">
      <c r="A329" s="224"/>
      <c r="B329" s="257" t="s">
        <v>304</v>
      </c>
      <c r="C329" s="212"/>
      <c r="E329" s="226">
        <v>200000</v>
      </c>
      <c r="F329" s="226">
        <v>200000</v>
      </c>
      <c r="G329" s="222">
        <v>0</v>
      </c>
      <c r="H329" s="223">
        <v>0</v>
      </c>
      <c r="I329" s="222"/>
      <c r="J329" s="222">
        <v>0</v>
      </c>
      <c r="K329" s="222">
        <v>0</v>
      </c>
      <c r="L329" s="221">
        <f>G329-H329-I329-J329-K329</f>
        <v>0</v>
      </c>
      <c r="M329" s="221"/>
      <c r="N329" s="221"/>
      <c r="O329" s="221">
        <f t="shared" si="69"/>
        <v>0</v>
      </c>
      <c r="P329" s="218" t="s">
        <v>250</v>
      </c>
      <c r="Q329" s="218">
        <v>29</v>
      </c>
      <c r="R329" s="218" t="s">
        <v>249</v>
      </c>
      <c r="T329" s="224"/>
      <c r="U329" s="257" t="s">
        <v>304</v>
      </c>
      <c r="V329" s="192">
        <v>101</v>
      </c>
      <c r="AH329" s="184">
        <v>305</v>
      </c>
      <c r="AJ329" s="184">
        <v>0</v>
      </c>
    </row>
    <row r="330" spans="1:36" hidden="1" x14ac:dyDescent="0.25">
      <c r="A330" s="224"/>
      <c r="B330" s="256" t="s">
        <v>305</v>
      </c>
      <c r="C330" s="212"/>
      <c r="E330" s="226">
        <v>245000</v>
      </c>
      <c r="F330" s="226">
        <v>245000</v>
      </c>
      <c r="G330" s="222">
        <v>0</v>
      </c>
      <c r="H330" s="223">
        <v>0</v>
      </c>
      <c r="I330" s="222"/>
      <c r="J330" s="222">
        <v>0</v>
      </c>
      <c r="K330" s="222">
        <v>0</v>
      </c>
      <c r="L330" s="221">
        <f>G330-H330-I330-J330-K330</f>
        <v>0</v>
      </c>
      <c r="M330" s="221"/>
      <c r="N330" s="221"/>
      <c r="O330" s="221">
        <f t="shared" si="69"/>
        <v>0</v>
      </c>
      <c r="P330" s="218" t="s">
        <v>250</v>
      </c>
      <c r="Q330" s="218">
        <v>29</v>
      </c>
      <c r="R330" s="218" t="s">
        <v>249</v>
      </c>
      <c r="T330" s="224"/>
      <c r="U330" s="256" t="s">
        <v>305</v>
      </c>
      <c r="V330" s="192">
        <v>102</v>
      </c>
      <c r="AH330" s="184">
        <v>306</v>
      </c>
      <c r="AJ330" s="184">
        <v>0</v>
      </c>
    </row>
    <row r="331" spans="1:36" x14ac:dyDescent="0.25">
      <c r="C331" s="212"/>
      <c r="D331" s="213"/>
      <c r="E331" s="213"/>
      <c r="F331" s="221"/>
      <c r="G331" s="215"/>
      <c r="H331" s="216"/>
      <c r="I331" s="215"/>
      <c r="J331" s="215"/>
      <c r="K331" s="215"/>
      <c r="L331" s="213"/>
      <c r="M331" s="213"/>
      <c r="N331" s="213"/>
      <c r="O331" s="213"/>
      <c r="V331" s="192">
        <v>103</v>
      </c>
      <c r="AH331" s="184">
        <v>307</v>
      </c>
    </row>
    <row r="332" spans="1:36" ht="13.8" thickBot="1" x14ac:dyDescent="0.3">
      <c r="B332" s="227" t="s">
        <v>306</v>
      </c>
      <c r="C332" s="228">
        <f t="shared" ref="C332:K332" si="70">SUM(C309:C331)</f>
        <v>27000000</v>
      </c>
      <c r="D332" s="228">
        <f>SUM(D309:D331)</f>
        <v>-85454.76999999999</v>
      </c>
      <c r="E332" s="228">
        <f t="shared" si="70"/>
        <v>-359735.58000000007</v>
      </c>
      <c r="F332" s="251">
        <f t="shared" si="70"/>
        <v>26540950.550000001</v>
      </c>
      <c r="G332" s="228">
        <f t="shared" si="70"/>
        <v>13859.099999999868</v>
      </c>
      <c r="H332" s="252">
        <f t="shared" si="70"/>
        <v>13859.1</v>
      </c>
      <c r="I332" s="228">
        <f t="shared" si="70"/>
        <v>0</v>
      </c>
      <c r="J332" s="228">
        <f t="shared" si="70"/>
        <v>0</v>
      </c>
      <c r="K332" s="228">
        <f t="shared" si="70"/>
        <v>0</v>
      </c>
      <c r="L332" s="228">
        <f>SUM(L309:L331)</f>
        <v>-1.3278622645884752E-10</v>
      </c>
      <c r="M332" s="228">
        <f>SUM(M309:M331)</f>
        <v>0</v>
      </c>
      <c r="N332" s="228">
        <f>SUM(N309:N331)</f>
        <v>0</v>
      </c>
      <c r="O332" s="228">
        <f>SUM(O309:O331)</f>
        <v>13859.1</v>
      </c>
      <c r="U332" s="227" t="s">
        <v>306</v>
      </c>
      <c r="V332" s="192">
        <v>104</v>
      </c>
      <c r="AA332" s="228">
        <f>SUM(AA309:AA331)</f>
        <v>122587.82999999999</v>
      </c>
      <c r="AB332" s="228">
        <f>SUM(AB309:AB331)</f>
        <v>3799.58</v>
      </c>
      <c r="AC332" s="228">
        <f>SUM(AC309:AC331)</f>
        <v>0</v>
      </c>
      <c r="AD332" s="228">
        <f>SUM(AD309:AD331)</f>
        <v>126387.41</v>
      </c>
      <c r="AF332" s="195">
        <f>C332+D332+E332-F332-G332</f>
        <v>-2.1027517504990101E-9</v>
      </c>
      <c r="AH332" s="184">
        <v>308</v>
      </c>
      <c r="AJ332" s="184">
        <v>13859.1</v>
      </c>
    </row>
    <row r="333" spans="1:36" ht="13.8" thickTop="1" x14ac:dyDescent="0.25">
      <c r="B333" s="224"/>
      <c r="C333" s="212"/>
      <c r="D333" s="212"/>
      <c r="E333" s="212"/>
      <c r="F333" s="250"/>
      <c r="G333" s="212"/>
      <c r="H333" s="225"/>
      <c r="I333" s="212"/>
      <c r="J333" s="212"/>
      <c r="K333" s="212"/>
      <c r="L333" s="212"/>
      <c r="M333" s="212"/>
      <c r="N333" s="212"/>
      <c r="O333" s="212"/>
      <c r="U333" s="224"/>
      <c r="V333" s="192">
        <v>297</v>
      </c>
      <c r="AA333" s="212"/>
      <c r="AB333" s="212"/>
      <c r="AC333" s="212"/>
      <c r="AD333" s="212"/>
      <c r="AH333" s="184">
        <v>309</v>
      </c>
    </row>
    <row r="334" spans="1:36" x14ac:dyDescent="0.25">
      <c r="B334" s="258" t="s">
        <v>307</v>
      </c>
      <c r="C334" s="259">
        <f t="shared" ref="C334:M334" si="71">C66+C75+C94+C118+C141+C161+C179+C201+C223+C243+C262+C332+C306+C285+C47+C25</f>
        <v>516168103</v>
      </c>
      <c r="D334" s="259">
        <f t="shared" si="71"/>
        <v>-9268504.7300000004</v>
      </c>
      <c r="E334" s="259">
        <f t="shared" si="71"/>
        <v>1651730.79</v>
      </c>
      <c r="F334" s="259">
        <f t="shared" si="71"/>
        <v>374364661.56999999</v>
      </c>
      <c r="G334" s="259">
        <f t="shared" si="71"/>
        <v>134186667.48699997</v>
      </c>
      <c r="H334" s="336">
        <f>H66+H75+H94+H118+H141+H161+H179+H201+H223+H243+H262+H332+H306+H285+H47+H25</f>
        <v>37808912.000000007</v>
      </c>
      <c r="I334" s="259">
        <f t="shared" si="71"/>
        <v>0</v>
      </c>
      <c r="J334" s="259">
        <f t="shared" si="71"/>
        <v>0</v>
      </c>
      <c r="K334" s="259">
        <f t="shared" si="71"/>
        <v>0</v>
      </c>
      <c r="L334" s="259">
        <f t="shared" si="71"/>
        <v>96377755.487000003</v>
      </c>
      <c r="M334" s="259">
        <f t="shared" si="71"/>
        <v>4265845.2700000005</v>
      </c>
      <c r="N334" s="259">
        <f>N66+N75+N94+N118+N141+N161+N179+N201+N223+N243+N262+N332+N306+N285+N47+N25</f>
        <v>20232613.030000001</v>
      </c>
      <c r="O334" s="259">
        <f>O66+O75+O94+O118+O141+O161+O179+O201+O223+O243+O262+O332+O306+O285+O47+O25</f>
        <v>13310453.700000005</v>
      </c>
      <c r="P334" s="218" t="s">
        <v>308</v>
      </c>
      <c r="U334" s="258" t="s">
        <v>307</v>
      </c>
      <c r="V334" s="192">
        <v>298</v>
      </c>
      <c r="AA334" s="259" t="e">
        <f>AA201+AA223+AA243+AA262+#REF!+#REF!+AA332+#REF!+#REF!+#REF!+#REF!+#REF!+#REF!+#REF!+#REF!+#REF!+AA179+AA161</f>
        <v>#REF!</v>
      </c>
      <c r="AB334" s="259" t="e">
        <f>AB201+AB223+AB243+AB262+#REF!+#REF!+AB332+#REF!+#REF!+#REF!+#REF!+#REF!+#REF!+#REF!+#REF!+#REF!+AB179+AB161</f>
        <v>#REF!</v>
      </c>
      <c r="AC334" s="259" t="e">
        <f>AC201+AC223+AC243+AC262+#REF!+#REF!+AC332+#REF!+#REF!+#REF!+#REF!+#REF!+#REF!+#REF!+#REF!+#REF!+AC179+AC161</f>
        <v>#REF!</v>
      </c>
      <c r="AD334" s="259" t="e">
        <f>AD201+AD223+AD243+AD262+#REF!+#REF!+AD332+#REF!+#REF!+#REF!+#REF!+#REF!+#REF!+#REF!+#REF!+#REF!+AD179+AD161</f>
        <v>#REF!</v>
      </c>
      <c r="AF334" s="195">
        <f>C334+D334+E334-F334-G334</f>
        <v>3.0000358819961548E-3</v>
      </c>
      <c r="AH334" s="184">
        <v>310</v>
      </c>
      <c r="AJ334" s="184">
        <v>25991427.370000005</v>
      </c>
    </row>
    <row r="335" spans="1:36" x14ac:dyDescent="0.25">
      <c r="B335" s="256"/>
      <c r="C335" s="225"/>
      <c r="D335" s="225"/>
      <c r="E335" s="225"/>
      <c r="F335" s="225"/>
      <c r="G335" s="225"/>
      <c r="H335" s="225"/>
      <c r="I335" s="225"/>
      <c r="J335" s="225"/>
      <c r="K335" s="225"/>
      <c r="L335" s="225"/>
      <c r="M335" s="225"/>
      <c r="N335" s="225"/>
      <c r="O335" s="225"/>
      <c r="P335" s="225"/>
      <c r="Q335" s="212"/>
      <c r="S335" s="218"/>
      <c r="T335" s="218"/>
      <c r="V335" s="184"/>
      <c r="W335" s="256"/>
      <c r="X335" s="192"/>
      <c r="Y335" s="193"/>
      <c r="AA335" s="184"/>
      <c r="AB335" s="184"/>
      <c r="AC335" s="225"/>
      <c r="AD335" s="225"/>
      <c r="AE335" s="225"/>
      <c r="AF335" s="225"/>
      <c r="AG335" s="195"/>
      <c r="AH335" s="184">
        <v>311</v>
      </c>
      <c r="AI335" s="225"/>
    </row>
    <row r="336" spans="1:36" x14ac:dyDescent="0.25">
      <c r="A336" s="224" t="s">
        <v>309</v>
      </c>
      <c r="C336" s="212"/>
      <c r="D336" s="225"/>
      <c r="E336" s="225"/>
      <c r="F336" s="225"/>
      <c r="G336" s="225"/>
      <c r="H336" s="225"/>
      <c r="I336" s="225"/>
      <c r="J336" s="225"/>
      <c r="K336" s="225"/>
      <c r="L336" s="225"/>
      <c r="M336" s="225"/>
      <c r="N336" s="221"/>
      <c r="O336" s="225"/>
      <c r="P336" s="225"/>
      <c r="Q336" s="212"/>
      <c r="S336" s="218"/>
      <c r="T336" s="218"/>
      <c r="V336" s="184"/>
      <c r="W336" s="256"/>
      <c r="X336" s="192"/>
      <c r="Y336" s="193"/>
      <c r="AA336" s="184"/>
      <c r="AB336" s="184"/>
      <c r="AC336" s="225"/>
      <c r="AD336" s="225"/>
      <c r="AE336" s="225"/>
      <c r="AF336" s="225"/>
      <c r="AG336" s="195"/>
      <c r="AH336" s="184">
        <v>312</v>
      </c>
      <c r="AI336" s="194"/>
    </row>
    <row r="337" spans="1:36" x14ac:dyDescent="0.25">
      <c r="B337" s="256" t="s">
        <v>310</v>
      </c>
      <c r="C337" s="225">
        <v>8000000</v>
      </c>
      <c r="D337" s="225"/>
      <c r="E337" s="225"/>
      <c r="F337" s="225"/>
      <c r="G337" s="225">
        <f>[1]UMCP!F216</f>
        <v>8000000</v>
      </c>
      <c r="H337" s="225">
        <f>[1]UMCP!H216</f>
        <v>0</v>
      </c>
      <c r="I337" s="225"/>
      <c r="J337" s="225"/>
      <c r="K337" s="225"/>
      <c r="L337" s="221">
        <f>G337-H337-I337-J337-K337</f>
        <v>8000000</v>
      </c>
      <c r="M337" s="221">
        <f>H337-N337-O337</f>
        <v>0</v>
      </c>
      <c r="N337" s="221">
        <v>0</v>
      </c>
      <c r="O337" s="225"/>
      <c r="P337" s="225"/>
      <c r="Q337" s="212"/>
      <c r="S337" s="218"/>
      <c r="T337" s="218"/>
      <c r="V337" s="184"/>
      <c r="W337" s="256"/>
      <c r="X337" s="192"/>
      <c r="Y337" s="193"/>
      <c r="AA337" s="184"/>
      <c r="AB337" s="184"/>
      <c r="AC337" s="225"/>
      <c r="AD337" s="225"/>
      <c r="AE337" s="225"/>
      <c r="AF337" s="195">
        <f>C337+D337+E337-F337-G337</f>
        <v>0</v>
      </c>
      <c r="AG337" s="195"/>
      <c r="AH337" s="184">
        <v>313</v>
      </c>
      <c r="AI337" s="225"/>
      <c r="AJ337" s="184">
        <v>0</v>
      </c>
    </row>
    <row r="338" spans="1:36" x14ac:dyDescent="0.25">
      <c r="B338" s="256" t="s">
        <v>311</v>
      </c>
      <c r="C338" s="225">
        <v>10000000</v>
      </c>
      <c r="D338" s="225"/>
      <c r="E338" s="225"/>
      <c r="F338" s="225"/>
      <c r="G338" s="225">
        <f>[1]TU!F365</f>
        <v>10000000</v>
      </c>
      <c r="H338" s="225">
        <f>[1]TU!H365</f>
        <v>0</v>
      </c>
      <c r="I338" s="225"/>
      <c r="J338" s="225"/>
      <c r="K338" s="225"/>
      <c r="L338" s="221">
        <f>G338-H338-I338-J338-K338</f>
        <v>10000000</v>
      </c>
      <c r="M338" s="221">
        <f>H338-N338-O338</f>
        <v>0</v>
      </c>
      <c r="N338" s="221">
        <v>0</v>
      </c>
      <c r="O338" s="225"/>
      <c r="P338" s="225"/>
      <c r="Q338" s="212"/>
      <c r="S338" s="218"/>
      <c r="T338" s="218"/>
      <c r="V338" s="184"/>
      <c r="W338" s="256"/>
      <c r="X338" s="192"/>
      <c r="Y338" s="193"/>
      <c r="AA338" s="184"/>
      <c r="AB338" s="184"/>
      <c r="AC338" s="225"/>
      <c r="AD338" s="225"/>
      <c r="AE338" s="225"/>
      <c r="AF338" s="195">
        <f>C338+D338+E338-F338-G338</f>
        <v>0</v>
      </c>
      <c r="AG338" s="195"/>
      <c r="AH338" s="184">
        <v>314</v>
      </c>
      <c r="AI338" s="225"/>
      <c r="AJ338" s="184">
        <v>0</v>
      </c>
    </row>
    <row r="339" spans="1:36" x14ac:dyDescent="0.25">
      <c r="B339" s="256"/>
      <c r="C339" s="225"/>
      <c r="D339" s="225"/>
      <c r="E339" s="225"/>
      <c r="F339" s="225"/>
      <c r="G339" s="225"/>
      <c r="H339" s="225"/>
      <c r="I339" s="225"/>
      <c r="J339" s="225"/>
      <c r="K339" s="225"/>
      <c r="L339" s="225"/>
      <c r="M339" s="225"/>
      <c r="N339" s="225"/>
      <c r="O339" s="225"/>
      <c r="P339" s="225"/>
      <c r="Q339" s="212"/>
      <c r="S339" s="218"/>
      <c r="T339" s="218"/>
      <c r="V339" s="184"/>
      <c r="W339" s="256"/>
      <c r="X339" s="192"/>
      <c r="Y339" s="193"/>
      <c r="AA339" s="184"/>
      <c r="AB339" s="184"/>
      <c r="AC339" s="225"/>
      <c r="AD339" s="225"/>
      <c r="AE339" s="225"/>
      <c r="AF339" s="225"/>
      <c r="AG339" s="195"/>
      <c r="AH339" s="184">
        <v>316</v>
      </c>
      <c r="AI339" s="225"/>
    </row>
    <row r="340" spans="1:36" ht="13.8" thickBot="1" x14ac:dyDescent="0.3">
      <c r="B340" s="260" t="s">
        <v>312</v>
      </c>
      <c r="C340" s="228">
        <f t="shared" ref="C340:M340" si="72">SUM(C337:C339)</f>
        <v>18000000</v>
      </c>
      <c r="D340" s="228">
        <f t="shared" si="72"/>
        <v>0</v>
      </c>
      <c r="E340" s="228">
        <f t="shared" si="72"/>
        <v>0</v>
      </c>
      <c r="F340" s="228">
        <f t="shared" si="72"/>
        <v>0</v>
      </c>
      <c r="G340" s="228">
        <f t="shared" si="72"/>
        <v>18000000</v>
      </c>
      <c r="H340" s="228">
        <f t="shared" si="72"/>
        <v>0</v>
      </c>
      <c r="I340" s="228">
        <f t="shared" si="72"/>
        <v>0</v>
      </c>
      <c r="J340" s="228">
        <f t="shared" si="72"/>
        <v>0</v>
      </c>
      <c r="K340" s="228">
        <f t="shared" si="72"/>
        <v>0</v>
      </c>
      <c r="L340" s="228">
        <f t="shared" si="72"/>
        <v>18000000</v>
      </c>
      <c r="M340" s="228">
        <f t="shared" si="72"/>
        <v>0</v>
      </c>
      <c r="N340" s="228">
        <f>SUM(N337:N339)</f>
        <v>0</v>
      </c>
      <c r="O340" s="228">
        <f>SUM(O337:O339)</f>
        <v>0</v>
      </c>
      <c r="P340" s="228">
        <f>SUM(P337:P339)</f>
        <v>0</v>
      </c>
      <c r="Q340" s="212"/>
      <c r="S340" s="218"/>
      <c r="T340" s="218"/>
      <c r="V340" s="184"/>
      <c r="W340" s="260" t="s">
        <v>313</v>
      </c>
      <c r="X340" s="192">
        <v>308</v>
      </c>
      <c r="Y340" s="193"/>
      <c r="AA340" s="184"/>
      <c r="AB340" s="184"/>
      <c r="AC340" s="228" t="e">
        <f>SUM(AC279:AC339)</f>
        <v>#REF!</v>
      </c>
      <c r="AD340" s="228" t="e">
        <f>SUM(AD279:AD339)</f>
        <v>#REF!</v>
      </c>
      <c r="AE340" s="228">
        <f>SUM(AE279:AE339)</f>
        <v>886955.73</v>
      </c>
      <c r="AF340" s="195">
        <f>C340+D340+E340-F340-G340</f>
        <v>0</v>
      </c>
      <c r="AG340" s="195"/>
      <c r="AH340" s="184">
        <v>317</v>
      </c>
      <c r="AI340" s="194"/>
      <c r="AJ340" s="184">
        <v>0</v>
      </c>
    </row>
    <row r="341" spans="1:36" ht="13.8" thickTop="1" x14ac:dyDescent="0.25">
      <c r="B341" s="261"/>
      <c r="C341" s="212"/>
      <c r="D341" s="212"/>
      <c r="E341" s="212"/>
      <c r="F341" s="212"/>
      <c r="G341" s="212"/>
      <c r="H341" s="212"/>
      <c r="I341" s="212"/>
      <c r="J341" s="212"/>
      <c r="K341" s="212"/>
      <c r="L341" s="212"/>
      <c r="M341" s="212"/>
      <c r="N341" s="212"/>
      <c r="O341" s="212"/>
      <c r="P341" s="212"/>
      <c r="Q341" s="212"/>
      <c r="S341" s="218"/>
      <c r="T341" s="218"/>
      <c r="V341" s="184"/>
      <c r="W341" s="261"/>
      <c r="X341" s="192"/>
      <c r="Y341" s="193"/>
      <c r="AA341" s="184"/>
      <c r="AB341" s="184"/>
      <c r="AC341" s="212"/>
      <c r="AD341" s="212"/>
      <c r="AE341" s="212"/>
      <c r="AF341" s="195"/>
      <c r="AG341" s="195"/>
      <c r="AI341" s="194"/>
    </row>
    <row r="342" spans="1:36" x14ac:dyDescent="0.25">
      <c r="A342" s="224" t="s">
        <v>314</v>
      </c>
      <c r="C342" s="212"/>
      <c r="D342" s="225"/>
      <c r="E342" s="225"/>
      <c r="F342" s="225"/>
      <c r="G342" s="225"/>
      <c r="H342" s="225"/>
      <c r="I342" s="225"/>
      <c r="J342" s="225"/>
      <c r="K342" s="225"/>
      <c r="L342" s="225"/>
      <c r="M342" s="225"/>
      <c r="N342" s="221"/>
      <c r="O342" s="225"/>
      <c r="P342" s="225"/>
      <c r="Q342" s="212"/>
      <c r="S342" s="218"/>
      <c r="T342" s="218"/>
      <c r="V342" s="184"/>
      <c r="W342" s="256"/>
      <c r="X342" s="192"/>
      <c r="Y342" s="193"/>
      <c r="AA342" s="184"/>
      <c r="AB342" s="184"/>
      <c r="AC342" s="225"/>
      <c r="AD342" s="225"/>
      <c r="AE342" s="225"/>
      <c r="AF342" s="225"/>
      <c r="AG342" s="195"/>
      <c r="AH342" s="184">
        <v>312</v>
      </c>
      <c r="AI342" s="194"/>
    </row>
    <row r="343" spans="1:36" x14ac:dyDescent="0.25">
      <c r="B343" s="256" t="s">
        <v>315</v>
      </c>
      <c r="C343" s="225">
        <v>6850000</v>
      </c>
      <c r="D343" s="225"/>
      <c r="E343" s="225"/>
      <c r="F343" s="225"/>
      <c r="G343" s="225">
        <f>[1]UMCP!F236</f>
        <v>6850000</v>
      </c>
      <c r="H343" s="225">
        <f>[1]UMCP!H236</f>
        <v>0</v>
      </c>
      <c r="I343" s="225"/>
      <c r="J343" s="225"/>
      <c r="K343" s="225">
        <f>[2]UMCP!K631</f>
        <v>0</v>
      </c>
      <c r="L343" s="221">
        <f>G343-H343-I343-J343-K343</f>
        <v>6850000</v>
      </c>
      <c r="M343" s="221">
        <f>H343-N343-O343</f>
        <v>0</v>
      </c>
      <c r="N343" s="221">
        <v>0</v>
      </c>
      <c r="O343" s="225"/>
      <c r="P343" s="225"/>
      <c r="Q343" s="212"/>
      <c r="S343" s="218"/>
      <c r="T343" s="218"/>
      <c r="V343" s="184"/>
      <c r="W343" s="256"/>
      <c r="X343" s="192"/>
      <c r="Y343" s="193"/>
      <c r="AA343" s="184"/>
      <c r="AB343" s="184"/>
      <c r="AC343" s="225"/>
      <c r="AD343" s="225"/>
      <c r="AE343" s="225"/>
      <c r="AF343" s="195">
        <f>C343+D343+E343-F343-G343</f>
        <v>0</v>
      </c>
      <c r="AG343" s="195"/>
      <c r="AH343" s="184">
        <v>313</v>
      </c>
      <c r="AI343" s="225"/>
      <c r="AJ343" s="184">
        <v>0</v>
      </c>
    </row>
    <row r="344" spans="1:36" x14ac:dyDescent="0.25">
      <c r="B344" s="256" t="s">
        <v>316</v>
      </c>
      <c r="C344" s="225">
        <v>9046000</v>
      </c>
      <c r="D344" s="225"/>
      <c r="E344" s="225"/>
      <c r="F344" s="225"/>
      <c r="G344" s="225">
        <f>[1]TU!F375</f>
        <v>9046000</v>
      </c>
      <c r="H344" s="225">
        <f>[1]TU!H375</f>
        <v>0</v>
      </c>
      <c r="I344" s="225"/>
      <c r="J344" s="225"/>
      <c r="K344" s="225">
        <f>[2]TU!K494</f>
        <v>0</v>
      </c>
      <c r="L344" s="221">
        <f>G344-H344-I344-J344-K344</f>
        <v>9046000</v>
      </c>
      <c r="M344" s="221">
        <f>H344-N344-O344</f>
        <v>0</v>
      </c>
      <c r="N344" s="221">
        <v>0</v>
      </c>
      <c r="O344" s="225"/>
      <c r="P344" s="225"/>
      <c r="Q344" s="212"/>
      <c r="S344" s="218"/>
      <c r="T344" s="218"/>
      <c r="V344" s="184"/>
      <c r="W344" s="256"/>
      <c r="X344" s="192"/>
      <c r="Y344" s="193"/>
      <c r="AA344" s="184"/>
      <c r="AB344" s="184"/>
      <c r="AC344" s="225"/>
      <c r="AD344" s="225"/>
      <c r="AE344" s="225"/>
      <c r="AF344" s="195">
        <f>C344+D344+E344-F344-G344</f>
        <v>0</v>
      </c>
      <c r="AG344" s="195"/>
      <c r="AH344" s="184">
        <v>314</v>
      </c>
      <c r="AI344" s="225"/>
      <c r="AJ344" s="184">
        <v>0</v>
      </c>
    </row>
    <row r="345" spans="1:36" x14ac:dyDescent="0.25">
      <c r="B345" s="256" t="s">
        <v>311</v>
      </c>
      <c r="C345" s="225">
        <v>5000000</v>
      </c>
      <c r="D345" s="225"/>
      <c r="E345" s="225"/>
      <c r="F345" s="225"/>
      <c r="G345" s="225">
        <f>[1]TU!F370</f>
        <v>5000000</v>
      </c>
      <c r="H345" s="225">
        <f>[1]TU!H370</f>
        <v>0</v>
      </c>
      <c r="I345" s="225"/>
      <c r="J345" s="225"/>
      <c r="K345" s="225">
        <f>[2]TU!K445</f>
        <v>0</v>
      </c>
      <c r="L345" s="221">
        <f>G345-H345-I345-J345-K345</f>
        <v>5000000</v>
      </c>
      <c r="M345" s="221">
        <f>H345-N345-O345</f>
        <v>0</v>
      </c>
      <c r="N345" s="221">
        <v>0</v>
      </c>
      <c r="O345" s="225"/>
      <c r="P345" s="225"/>
      <c r="Q345" s="212"/>
      <c r="S345" s="218"/>
      <c r="T345" s="218"/>
      <c r="V345" s="184"/>
      <c r="W345" s="256"/>
      <c r="X345" s="192"/>
      <c r="Y345" s="193"/>
      <c r="AA345" s="184"/>
      <c r="AB345" s="184"/>
      <c r="AC345" s="225"/>
      <c r="AD345" s="225"/>
      <c r="AE345" s="225"/>
      <c r="AF345" s="195">
        <f>C345+D345+E345-F345-G345</f>
        <v>0</v>
      </c>
      <c r="AG345" s="195"/>
      <c r="AH345" s="184">
        <v>315</v>
      </c>
      <c r="AI345" s="225"/>
      <c r="AJ345" s="184">
        <v>0</v>
      </c>
    </row>
    <row r="346" spans="1:36" x14ac:dyDescent="0.25">
      <c r="B346" s="256"/>
      <c r="C346" s="225"/>
      <c r="D346" s="225"/>
      <c r="E346" s="225"/>
      <c r="F346" s="225"/>
      <c r="G346" s="225"/>
      <c r="H346" s="225"/>
      <c r="I346" s="225"/>
      <c r="J346" s="225"/>
      <c r="K346" s="225"/>
      <c r="L346" s="225"/>
      <c r="M346" s="225"/>
      <c r="N346" s="225"/>
      <c r="O346" s="225"/>
      <c r="P346" s="225"/>
      <c r="Q346" s="212"/>
      <c r="S346" s="218"/>
      <c r="T346" s="218"/>
      <c r="V346" s="184"/>
      <c r="W346" s="256"/>
      <c r="X346" s="192"/>
      <c r="Y346" s="193"/>
      <c r="AA346" s="184"/>
      <c r="AB346" s="184"/>
      <c r="AC346" s="225"/>
      <c r="AD346" s="225"/>
      <c r="AE346" s="225"/>
      <c r="AF346" s="225"/>
      <c r="AG346" s="195"/>
      <c r="AH346" s="184">
        <v>316</v>
      </c>
      <c r="AI346" s="225"/>
    </row>
    <row r="347" spans="1:36" ht="13.8" thickBot="1" x14ac:dyDescent="0.3">
      <c r="B347" s="260" t="s">
        <v>317</v>
      </c>
      <c r="C347" s="228">
        <f>SUM(C343:C346)</f>
        <v>20896000</v>
      </c>
      <c r="D347" s="228">
        <f t="shared" ref="D347:P347" si="73">SUM(D343:D346)</f>
        <v>0</v>
      </c>
      <c r="E347" s="228">
        <f t="shared" si="73"/>
        <v>0</v>
      </c>
      <c r="F347" s="228">
        <f t="shared" si="73"/>
        <v>0</v>
      </c>
      <c r="G347" s="228">
        <f t="shared" si="73"/>
        <v>20896000</v>
      </c>
      <c r="H347" s="228">
        <f t="shared" si="73"/>
        <v>0</v>
      </c>
      <c r="I347" s="228">
        <f t="shared" si="73"/>
        <v>0</v>
      </c>
      <c r="J347" s="228">
        <f t="shared" si="73"/>
        <v>0</v>
      </c>
      <c r="K347" s="228">
        <f t="shared" si="73"/>
        <v>0</v>
      </c>
      <c r="L347" s="228">
        <f t="shared" si="73"/>
        <v>20896000</v>
      </c>
      <c r="M347" s="228">
        <f t="shared" si="73"/>
        <v>0</v>
      </c>
      <c r="N347" s="228">
        <f t="shared" si="73"/>
        <v>0</v>
      </c>
      <c r="O347" s="228">
        <f t="shared" si="73"/>
        <v>0</v>
      </c>
      <c r="P347" s="228">
        <f t="shared" si="73"/>
        <v>0</v>
      </c>
      <c r="Q347" s="212"/>
      <c r="S347" s="218"/>
      <c r="T347" s="218"/>
      <c r="V347" s="184"/>
      <c r="W347" s="260" t="s">
        <v>313</v>
      </c>
      <c r="X347" s="192">
        <v>308</v>
      </c>
      <c r="Y347" s="193"/>
      <c r="AA347" s="184"/>
      <c r="AB347" s="184"/>
      <c r="AC347" s="228" t="e">
        <f>SUM(AC285:AC346)</f>
        <v>#REF!</v>
      </c>
      <c r="AD347" s="228" t="e">
        <f>SUM(AD285:AD346)</f>
        <v>#REF!</v>
      </c>
      <c r="AE347" s="228">
        <f>SUM(AE285:AE346)</f>
        <v>1773911.46</v>
      </c>
      <c r="AF347" s="195">
        <f>C347+D347+E347-F347-G347</f>
        <v>0</v>
      </c>
      <c r="AG347" s="195"/>
      <c r="AH347" s="184">
        <v>317</v>
      </c>
      <c r="AI347" s="194"/>
      <c r="AJ347" s="184">
        <v>0</v>
      </c>
    </row>
    <row r="348" spans="1:36" ht="13.8" thickTop="1" x14ac:dyDescent="0.25">
      <c r="B348" s="256"/>
      <c r="C348" s="225"/>
      <c r="D348" s="225"/>
      <c r="E348" s="225"/>
      <c r="F348" s="225"/>
      <c r="G348" s="225"/>
      <c r="H348" s="225"/>
      <c r="I348" s="225"/>
      <c r="J348" s="225"/>
      <c r="K348" s="225"/>
      <c r="L348" s="225"/>
      <c r="M348" s="225"/>
      <c r="N348" s="225"/>
      <c r="O348" s="225"/>
      <c r="U348" s="256"/>
      <c r="AA348" s="225"/>
      <c r="AB348" s="225"/>
      <c r="AC348" s="225"/>
      <c r="AD348" s="225"/>
      <c r="AH348" s="184">
        <v>318</v>
      </c>
    </row>
    <row r="349" spans="1:36" x14ac:dyDescent="0.25">
      <c r="A349" s="224" t="s">
        <v>318</v>
      </c>
      <c r="C349" s="212"/>
      <c r="D349" s="225"/>
      <c r="E349" s="225"/>
      <c r="F349" s="187"/>
      <c r="G349" s="225"/>
      <c r="H349" s="225"/>
      <c r="I349" s="225"/>
      <c r="J349" s="225"/>
      <c r="K349" s="225"/>
      <c r="L349" s="225"/>
      <c r="M349" s="225"/>
      <c r="N349" s="225"/>
      <c r="O349" s="225"/>
      <c r="U349" s="256"/>
      <c r="AA349" s="225"/>
      <c r="AB349" s="225"/>
      <c r="AC349" s="225"/>
      <c r="AD349" s="225"/>
      <c r="AH349" s="184">
        <v>319</v>
      </c>
    </row>
    <row r="350" spans="1:36" x14ac:dyDescent="0.25">
      <c r="B350" s="256" t="s">
        <v>319</v>
      </c>
      <c r="C350" s="225">
        <v>1045430</v>
      </c>
      <c r="D350" s="225"/>
      <c r="E350" s="225"/>
      <c r="F350" s="225">
        <f>677619.08</f>
        <v>677619.08</v>
      </c>
      <c r="G350" s="225">
        <f>[1]UMES!F171</f>
        <v>367810.92000000004</v>
      </c>
      <c r="H350" s="225">
        <f>[1]UMES!H171</f>
        <v>285393.71999999997</v>
      </c>
      <c r="I350" s="225"/>
      <c r="J350" s="225">
        <f>[1]UMES!J171</f>
        <v>0</v>
      </c>
      <c r="K350" s="225">
        <f>[1]UMES!K171</f>
        <v>0</v>
      </c>
      <c r="L350" s="221">
        <f>G350-H350-I350-J350-K350</f>
        <v>82417.20000000007</v>
      </c>
      <c r="M350" s="221">
        <f>H350-N350-O350</f>
        <v>21829.119999999995</v>
      </c>
      <c r="N350" s="221">
        <v>263564.59999999998</v>
      </c>
      <c r="O350" s="221">
        <v>0</v>
      </c>
      <c r="U350" s="256"/>
      <c r="AA350" s="225"/>
      <c r="AB350" s="225"/>
      <c r="AC350" s="225"/>
      <c r="AD350" s="225"/>
      <c r="AF350" s="195">
        <f>C350+D350+E350-F350-G350</f>
        <v>0</v>
      </c>
      <c r="AH350" s="184">
        <v>320</v>
      </c>
      <c r="AJ350" s="184">
        <v>0</v>
      </c>
    </row>
    <row r="351" spans="1:36" x14ac:dyDescent="0.25">
      <c r="B351" s="256" t="s">
        <v>320</v>
      </c>
      <c r="C351" s="225">
        <v>8000000</v>
      </c>
      <c r="D351" s="225"/>
      <c r="E351" s="225"/>
      <c r="F351" s="225">
        <f>4156585.88+673518.08+260562</f>
        <v>5090665.96</v>
      </c>
      <c r="G351" s="225">
        <f>[1]TU!F570</f>
        <v>2909334.04</v>
      </c>
      <c r="H351" s="225">
        <f>[1]TU!H570</f>
        <v>288185.09000000003</v>
      </c>
      <c r="I351" s="225"/>
      <c r="J351" s="225">
        <f>[1]TU!J570</f>
        <v>0</v>
      </c>
      <c r="K351" s="225">
        <f>[1]TU!K570</f>
        <v>0</v>
      </c>
      <c r="L351" s="221">
        <f>G351-H351-I351-J351-K351</f>
        <v>2621148.9500000002</v>
      </c>
      <c r="M351" s="221">
        <f>H351-N351-O351</f>
        <v>30782.070000000036</v>
      </c>
      <c r="N351" s="221">
        <v>257403.02</v>
      </c>
      <c r="O351" s="221">
        <v>0</v>
      </c>
      <c r="U351" s="256"/>
      <c r="AA351" s="225"/>
      <c r="AB351" s="225"/>
      <c r="AC351" s="225"/>
      <c r="AD351" s="225"/>
      <c r="AF351" s="195">
        <f>C351+D351+E351-F351-G351</f>
        <v>0</v>
      </c>
      <c r="AH351" s="184">
        <v>321</v>
      </c>
      <c r="AJ351" s="184">
        <v>0</v>
      </c>
    </row>
    <row r="352" spans="1:36" x14ac:dyDescent="0.25">
      <c r="B352" s="256"/>
      <c r="C352" s="225"/>
      <c r="D352" s="225"/>
      <c r="E352" s="225"/>
      <c r="F352" s="225"/>
      <c r="G352" s="225"/>
      <c r="H352" s="225"/>
      <c r="I352" s="225"/>
      <c r="J352" s="225"/>
      <c r="K352" s="225"/>
      <c r="L352" s="225"/>
      <c r="M352" s="225"/>
      <c r="N352" s="225"/>
      <c r="O352" s="225"/>
      <c r="U352" s="256"/>
      <c r="AA352" s="225"/>
      <c r="AB352" s="225"/>
      <c r="AC352" s="225"/>
      <c r="AD352" s="225"/>
      <c r="AH352" s="184">
        <v>322</v>
      </c>
    </row>
    <row r="353" spans="1:36" ht="13.8" thickBot="1" x14ac:dyDescent="0.3">
      <c r="B353" s="260" t="s">
        <v>321</v>
      </c>
      <c r="C353" s="228">
        <f>SUM(C350:C352)</f>
        <v>9045430</v>
      </c>
      <c r="D353" s="228">
        <f t="shared" ref="D353:O353" si="74">SUM(D350:D352)</f>
        <v>0</v>
      </c>
      <c r="E353" s="228">
        <f t="shared" si="74"/>
        <v>0</v>
      </c>
      <c r="F353" s="228">
        <f t="shared" si="74"/>
        <v>5768285.04</v>
      </c>
      <c r="G353" s="228">
        <f t="shared" si="74"/>
        <v>3277144.96</v>
      </c>
      <c r="H353" s="228">
        <f>SUM(H350:H352)</f>
        <v>573578.81000000006</v>
      </c>
      <c r="I353" s="228">
        <f t="shared" si="74"/>
        <v>0</v>
      </c>
      <c r="J353" s="228">
        <f t="shared" si="74"/>
        <v>0</v>
      </c>
      <c r="K353" s="228">
        <f t="shared" si="74"/>
        <v>0</v>
      </c>
      <c r="L353" s="228">
        <f t="shared" si="74"/>
        <v>2703566.1500000004</v>
      </c>
      <c r="M353" s="228">
        <f t="shared" si="74"/>
        <v>52611.190000000031</v>
      </c>
      <c r="N353" s="228">
        <f t="shared" si="74"/>
        <v>520967.62</v>
      </c>
      <c r="O353" s="228">
        <f t="shared" si="74"/>
        <v>0</v>
      </c>
      <c r="U353" s="260" t="s">
        <v>313</v>
      </c>
      <c r="V353" s="192">
        <v>308</v>
      </c>
      <c r="AA353" s="228" t="e">
        <f>SUM(AA333:AA352)</f>
        <v>#REF!</v>
      </c>
      <c r="AB353" s="228" t="e">
        <f>SUM(AB333:AB352)</f>
        <v>#REF!</v>
      </c>
      <c r="AC353" s="228" t="e">
        <f>SUM(AC333:AC352)</f>
        <v>#REF!</v>
      </c>
      <c r="AD353" s="228" t="e">
        <f>SUM(AD333:AD352)</f>
        <v>#REF!</v>
      </c>
      <c r="AF353" s="195">
        <f>C353+D353+E353-F353-G353</f>
        <v>0</v>
      </c>
      <c r="AH353" s="184">
        <v>323</v>
      </c>
      <c r="AJ353" s="184">
        <v>0</v>
      </c>
    </row>
    <row r="354" spans="1:36" ht="13.8" thickTop="1" x14ac:dyDescent="0.25">
      <c r="B354" s="256"/>
      <c r="C354" s="225"/>
      <c r="D354" s="225"/>
      <c r="E354" s="225"/>
      <c r="F354" s="225"/>
      <c r="G354" s="225"/>
      <c r="H354" s="225"/>
      <c r="I354" s="225"/>
      <c r="J354" s="225"/>
      <c r="K354" s="225"/>
      <c r="L354" s="225"/>
      <c r="M354" s="225"/>
      <c r="N354" s="225"/>
      <c r="O354" s="225"/>
      <c r="U354" s="256"/>
      <c r="AA354" s="225"/>
      <c r="AB354" s="225"/>
      <c r="AC354" s="225"/>
      <c r="AD354" s="225"/>
      <c r="AH354" s="184">
        <v>324</v>
      </c>
    </row>
    <row r="355" spans="1:36" x14ac:dyDescent="0.25">
      <c r="A355" s="224" t="s">
        <v>322</v>
      </c>
      <c r="C355" s="212"/>
      <c r="D355" s="225"/>
      <c r="E355" s="225"/>
      <c r="F355" s="225"/>
      <c r="G355" s="225"/>
      <c r="H355" s="225"/>
      <c r="I355" s="225"/>
      <c r="J355" s="225"/>
      <c r="K355" s="225"/>
      <c r="L355" s="225"/>
      <c r="M355" s="225"/>
      <c r="N355" s="225"/>
      <c r="O355" s="225"/>
      <c r="U355" s="256"/>
      <c r="AA355" s="225"/>
      <c r="AB355" s="225"/>
      <c r="AC355" s="225"/>
      <c r="AD355" s="225"/>
      <c r="AH355" s="184">
        <v>325</v>
      </c>
    </row>
    <row r="356" spans="1:36" x14ac:dyDescent="0.25">
      <c r="A356" s="224"/>
      <c r="B356" s="184" t="s">
        <v>323</v>
      </c>
      <c r="C356" s="212">
        <v>2700000</v>
      </c>
      <c r="D356" s="225"/>
      <c r="E356" s="225"/>
      <c r="F356" s="225"/>
      <c r="G356" s="225">
        <f>[1]UMB!F384</f>
        <v>2700000</v>
      </c>
      <c r="H356" s="225">
        <f>[1]UMB!H384</f>
        <v>0</v>
      </c>
      <c r="I356" s="225"/>
      <c r="J356" s="225">
        <f>[1]UMB!J384</f>
        <v>0</v>
      </c>
      <c r="K356" s="225">
        <f>[1]UMB!K384</f>
        <v>0</v>
      </c>
      <c r="L356" s="221">
        <f>G356-H356-I356-J356-K356</f>
        <v>2700000</v>
      </c>
      <c r="M356" s="221">
        <f>H356-N356-O356</f>
        <v>0</v>
      </c>
      <c r="N356" s="221">
        <v>0</v>
      </c>
      <c r="O356" s="221">
        <v>0</v>
      </c>
      <c r="U356" s="256"/>
      <c r="AA356" s="225"/>
      <c r="AB356" s="225"/>
      <c r="AC356" s="225"/>
      <c r="AD356" s="225"/>
      <c r="AF356" s="195">
        <f>C356+D356+E356-F356-G356</f>
        <v>0</v>
      </c>
      <c r="AH356" s="184">
        <v>326</v>
      </c>
      <c r="AJ356" s="184">
        <v>0</v>
      </c>
    </row>
    <row r="357" spans="1:36" x14ac:dyDescent="0.25">
      <c r="A357" s="224"/>
      <c r="B357" s="184" t="s">
        <v>324</v>
      </c>
      <c r="C357" s="212">
        <v>1000000</v>
      </c>
      <c r="D357" s="225"/>
      <c r="E357" s="225"/>
      <c r="F357" s="225"/>
      <c r="G357" s="225">
        <f>[1]FSU!F201</f>
        <v>1000000</v>
      </c>
      <c r="H357" s="225">
        <f>[1]FSU!H201</f>
        <v>0</v>
      </c>
      <c r="I357" s="225"/>
      <c r="J357" s="225">
        <f>[1]FSU!J201</f>
        <v>0</v>
      </c>
      <c r="K357" s="225">
        <f>[1]FSU!K201</f>
        <v>0</v>
      </c>
      <c r="L357" s="221">
        <f>G357-H357-I357-J357-K357</f>
        <v>1000000</v>
      </c>
      <c r="M357" s="221">
        <f>H357-N357-O357</f>
        <v>0</v>
      </c>
      <c r="N357" s="221">
        <v>0</v>
      </c>
      <c r="O357" s="221">
        <v>0</v>
      </c>
      <c r="U357" s="256"/>
      <c r="AA357" s="225"/>
      <c r="AB357" s="225"/>
      <c r="AC357" s="225"/>
      <c r="AD357" s="225"/>
      <c r="AF357" s="195">
        <f>C357+D357+E357-F357-G357</f>
        <v>0</v>
      </c>
      <c r="AH357" s="184">
        <v>327</v>
      </c>
      <c r="AJ357" s="184">
        <v>0</v>
      </c>
    </row>
    <row r="358" spans="1:36" x14ac:dyDescent="0.25">
      <c r="A358" s="224"/>
      <c r="B358" s="184" t="s">
        <v>325</v>
      </c>
      <c r="C358" s="212">
        <v>20000000</v>
      </c>
      <c r="D358" s="225"/>
      <c r="E358" s="225"/>
      <c r="F358" s="225">
        <f>2665098.06+996336.78+299</f>
        <v>3661733.84</v>
      </c>
      <c r="G358" s="225">
        <f>[1]TU!F384</f>
        <v>16338266.16</v>
      </c>
      <c r="H358" s="225">
        <f>[1]TU!H384</f>
        <v>1852361.7999999998</v>
      </c>
      <c r="I358" s="225"/>
      <c r="J358" s="225">
        <f>[1]TU!J384</f>
        <v>0</v>
      </c>
      <c r="K358" s="225">
        <f>[1]TU!K384</f>
        <v>0</v>
      </c>
      <c r="L358" s="221">
        <f>G358-H358-I358-J358-K358</f>
        <v>14485904.359999999</v>
      </c>
      <c r="M358" s="221">
        <f>H358-N358-O358</f>
        <v>866154.19999999984</v>
      </c>
      <c r="N358" s="221">
        <v>986207.6</v>
      </c>
      <c r="O358" s="221">
        <v>0</v>
      </c>
      <c r="U358" s="256"/>
      <c r="AA358" s="225"/>
      <c r="AB358" s="225"/>
      <c r="AC358" s="225"/>
      <c r="AD358" s="225"/>
      <c r="AF358" s="195">
        <f>C358+D358+E358-F358-G358</f>
        <v>0</v>
      </c>
      <c r="AH358" s="184">
        <v>328</v>
      </c>
      <c r="AJ358" s="184">
        <v>0</v>
      </c>
    </row>
    <row r="359" spans="1:36" x14ac:dyDescent="0.25">
      <c r="B359" s="256"/>
      <c r="C359" s="225"/>
      <c r="D359" s="225"/>
      <c r="E359" s="225"/>
      <c r="F359" s="225"/>
      <c r="G359" s="225"/>
      <c r="H359" s="225"/>
      <c r="I359" s="225"/>
      <c r="J359" s="225"/>
      <c r="K359" s="225"/>
      <c r="L359" s="225"/>
      <c r="M359" s="225"/>
      <c r="N359" s="225"/>
      <c r="O359" s="225"/>
      <c r="U359" s="256"/>
      <c r="AA359" s="225"/>
      <c r="AB359" s="225"/>
      <c r="AC359" s="225"/>
      <c r="AD359" s="225"/>
      <c r="AH359" s="184">
        <v>329</v>
      </c>
    </row>
    <row r="360" spans="1:36" ht="13.8" thickBot="1" x14ac:dyDescent="0.3">
      <c r="B360" s="260" t="s">
        <v>326</v>
      </c>
      <c r="C360" s="228">
        <f>SUM(C356:C359)</f>
        <v>23700000</v>
      </c>
      <c r="D360" s="228">
        <f t="shared" ref="D360:O360" si="75">SUM(D356:D359)</f>
        <v>0</v>
      </c>
      <c r="E360" s="228">
        <f t="shared" si="75"/>
        <v>0</v>
      </c>
      <c r="F360" s="228">
        <f>SUM(F356:F359)</f>
        <v>3661733.84</v>
      </c>
      <c r="G360" s="228">
        <f t="shared" si="75"/>
        <v>20038266.16</v>
      </c>
      <c r="H360" s="228">
        <f t="shared" si="75"/>
        <v>1852361.7999999998</v>
      </c>
      <c r="I360" s="228">
        <f t="shared" si="75"/>
        <v>0</v>
      </c>
      <c r="J360" s="228">
        <f t="shared" si="75"/>
        <v>0</v>
      </c>
      <c r="K360" s="228">
        <f t="shared" si="75"/>
        <v>0</v>
      </c>
      <c r="L360" s="228">
        <f t="shared" si="75"/>
        <v>18185904.359999999</v>
      </c>
      <c r="M360" s="228">
        <f t="shared" si="75"/>
        <v>866154.19999999984</v>
      </c>
      <c r="N360" s="228">
        <f t="shared" si="75"/>
        <v>986207.6</v>
      </c>
      <c r="O360" s="228">
        <f t="shared" si="75"/>
        <v>0</v>
      </c>
      <c r="U360" s="260" t="s">
        <v>313</v>
      </c>
      <c r="V360" s="192">
        <v>308</v>
      </c>
      <c r="AA360" s="228" t="e">
        <f>SUM(AA333:AA359)</f>
        <v>#REF!</v>
      </c>
      <c r="AB360" s="228" t="e">
        <f>SUM(AB333:AB359)</f>
        <v>#REF!</v>
      </c>
      <c r="AC360" s="228" t="e">
        <f>SUM(AC333:AC359)</f>
        <v>#REF!</v>
      </c>
      <c r="AD360" s="228" t="e">
        <f>SUM(AD333:AD359)</f>
        <v>#REF!</v>
      </c>
      <c r="AF360" s="195">
        <f>C360+D360+E360-F360-G360</f>
        <v>0</v>
      </c>
      <c r="AH360" s="184">
        <v>330</v>
      </c>
      <c r="AJ360" s="184">
        <v>0</v>
      </c>
    </row>
    <row r="361" spans="1:36" ht="13.8" thickTop="1" x14ac:dyDescent="0.25">
      <c r="A361" s="224"/>
      <c r="C361" s="212"/>
      <c r="D361" s="225"/>
      <c r="E361" s="225"/>
      <c r="F361" s="225"/>
      <c r="G361" s="225"/>
      <c r="H361" s="225"/>
      <c r="I361" s="225"/>
      <c r="J361" s="225"/>
      <c r="K361" s="225"/>
      <c r="L361" s="225"/>
      <c r="M361" s="225"/>
      <c r="N361" s="225"/>
      <c r="O361" s="225"/>
      <c r="U361" s="256"/>
      <c r="AA361" s="225"/>
      <c r="AB361" s="225"/>
      <c r="AC361" s="225"/>
      <c r="AD361" s="225"/>
      <c r="AH361" s="184">
        <v>331</v>
      </c>
    </row>
    <row r="362" spans="1:36" x14ac:dyDescent="0.25">
      <c r="A362" s="224" t="s">
        <v>327</v>
      </c>
      <c r="C362" s="212"/>
      <c r="D362" s="225"/>
      <c r="E362" s="225"/>
      <c r="F362" s="225"/>
      <c r="G362" s="225"/>
      <c r="H362" s="225"/>
      <c r="I362" s="225"/>
      <c r="J362" s="225"/>
      <c r="K362" s="225"/>
      <c r="L362" s="225"/>
      <c r="M362" s="225"/>
      <c r="N362" s="225"/>
      <c r="O362" s="225"/>
      <c r="U362" s="256"/>
      <c r="AA362" s="225"/>
      <c r="AB362" s="225"/>
      <c r="AC362" s="225"/>
      <c r="AD362" s="225"/>
      <c r="AH362" s="184">
        <v>332</v>
      </c>
    </row>
    <row r="363" spans="1:36" x14ac:dyDescent="0.25">
      <c r="B363" s="256" t="s">
        <v>328</v>
      </c>
      <c r="C363" s="225">
        <v>25000000</v>
      </c>
      <c r="D363" s="225"/>
      <c r="E363" s="225"/>
      <c r="F363" s="225">
        <v>0</v>
      </c>
      <c r="G363" s="225">
        <f>[1]UMCP!F274</f>
        <v>25000000</v>
      </c>
      <c r="H363" s="225">
        <f>[1]UMCP!H274</f>
        <v>24648776.460000008</v>
      </c>
      <c r="I363" s="225"/>
      <c r="J363" s="225">
        <f>[1]UMCP!J274</f>
        <v>0</v>
      </c>
      <c r="K363" s="225">
        <f>[1]UMCP!K274</f>
        <v>0</v>
      </c>
      <c r="L363" s="221">
        <f>G363-H363-I363-J363-K363</f>
        <v>351223.53999999166</v>
      </c>
      <c r="M363" s="221">
        <f>H363-N363-O363</f>
        <v>44448.940000001341</v>
      </c>
      <c r="N363" s="221">
        <v>2878845.1800000072</v>
      </c>
      <c r="O363" s="221">
        <v>21725482.34</v>
      </c>
      <c r="U363" s="256"/>
      <c r="AA363" s="225"/>
      <c r="AB363" s="225"/>
      <c r="AC363" s="225"/>
      <c r="AD363" s="225"/>
      <c r="AF363" s="195">
        <f>C363+D363+E363-F363-G363</f>
        <v>0</v>
      </c>
      <c r="AH363" s="184">
        <v>333</v>
      </c>
      <c r="AJ363" s="184">
        <v>24456458.040000007</v>
      </c>
    </row>
    <row r="364" spans="1:36" x14ac:dyDescent="0.25">
      <c r="B364" s="256" t="s">
        <v>329</v>
      </c>
      <c r="C364" s="225">
        <v>15000000</v>
      </c>
      <c r="D364" s="225"/>
      <c r="E364" s="225"/>
      <c r="F364" s="225">
        <v>0</v>
      </c>
      <c r="G364" s="225">
        <f>[1]UMCP!F309</f>
        <v>15000000</v>
      </c>
      <c r="H364" s="225">
        <f>[1]UMCP!H309</f>
        <v>15000000</v>
      </c>
      <c r="I364" s="225"/>
      <c r="J364" s="225">
        <f>[1]UMCP!J309</f>
        <v>0</v>
      </c>
      <c r="K364" s="225">
        <f>[1]UMCP!K309</f>
        <v>0</v>
      </c>
      <c r="L364" s="221">
        <f>G364-H364-I364-J364-K364</f>
        <v>0</v>
      </c>
      <c r="M364" s="221">
        <f>H364-N364-O364</f>
        <v>0</v>
      </c>
      <c r="N364" s="221">
        <v>0</v>
      </c>
      <c r="O364" s="221">
        <v>15000000</v>
      </c>
      <c r="U364" s="256"/>
      <c r="AA364" s="225"/>
      <c r="AB364" s="225"/>
      <c r="AC364" s="225"/>
      <c r="AD364" s="225"/>
      <c r="AF364" s="195">
        <f>C364+D364+E364-F364-G364</f>
        <v>0</v>
      </c>
      <c r="AH364" s="184">
        <v>334</v>
      </c>
      <c r="AJ364" s="184">
        <v>15000000</v>
      </c>
    </row>
    <row r="365" spans="1:36" x14ac:dyDescent="0.25">
      <c r="B365" s="256"/>
      <c r="C365" s="225"/>
      <c r="D365" s="225"/>
      <c r="E365" s="225"/>
      <c r="F365" s="225"/>
      <c r="G365" s="225"/>
      <c r="H365" s="225"/>
      <c r="I365" s="225"/>
      <c r="J365" s="225"/>
      <c r="K365" s="225"/>
      <c r="L365" s="225"/>
      <c r="M365" s="225"/>
      <c r="N365" s="225"/>
      <c r="O365" s="225"/>
      <c r="U365" s="256"/>
      <c r="AA365" s="225"/>
      <c r="AB365" s="225"/>
      <c r="AC365" s="225"/>
      <c r="AD365" s="225"/>
      <c r="AH365" s="184">
        <v>335</v>
      </c>
    </row>
    <row r="366" spans="1:36" ht="13.8" thickBot="1" x14ac:dyDescent="0.3">
      <c r="B366" s="260" t="s">
        <v>330</v>
      </c>
      <c r="C366" s="228">
        <f>SUM(C363:C365)</f>
        <v>40000000</v>
      </c>
      <c r="D366" s="228">
        <f t="shared" ref="D366:O366" si="76">SUM(D363:D365)</f>
        <v>0</v>
      </c>
      <c r="E366" s="228">
        <f t="shared" si="76"/>
        <v>0</v>
      </c>
      <c r="F366" s="228">
        <f t="shared" si="76"/>
        <v>0</v>
      </c>
      <c r="G366" s="228">
        <f t="shared" si="76"/>
        <v>40000000</v>
      </c>
      <c r="H366" s="228">
        <f>SUM(H363:H365)</f>
        <v>39648776.460000008</v>
      </c>
      <c r="I366" s="228">
        <f t="shared" si="76"/>
        <v>0</v>
      </c>
      <c r="J366" s="228">
        <f t="shared" si="76"/>
        <v>0</v>
      </c>
      <c r="K366" s="228">
        <f t="shared" si="76"/>
        <v>0</v>
      </c>
      <c r="L366" s="228">
        <f t="shared" si="76"/>
        <v>351223.53999999166</v>
      </c>
      <c r="M366" s="228">
        <f t="shared" si="76"/>
        <v>44448.940000001341</v>
      </c>
      <c r="N366" s="228">
        <f t="shared" si="76"/>
        <v>2878845.1800000072</v>
      </c>
      <c r="O366" s="228">
        <f t="shared" si="76"/>
        <v>36725482.340000004</v>
      </c>
      <c r="U366" s="260" t="s">
        <v>313</v>
      </c>
      <c r="V366" s="192">
        <v>308</v>
      </c>
      <c r="AA366" s="228" t="e">
        <f>SUM(AA333:AA365)</f>
        <v>#REF!</v>
      </c>
      <c r="AB366" s="228" t="e">
        <f>SUM(AB333:AB365)</f>
        <v>#REF!</v>
      </c>
      <c r="AC366" s="228" t="e">
        <f>SUM(AC333:AC365)</f>
        <v>#REF!</v>
      </c>
      <c r="AD366" s="228" t="e">
        <f>SUM(AD333:AD365)</f>
        <v>#REF!</v>
      </c>
      <c r="AF366" s="195">
        <f>C366+D366+E366-F366-G366</f>
        <v>0</v>
      </c>
      <c r="AH366" s="184">
        <v>336</v>
      </c>
      <c r="AJ366" s="184">
        <v>39456458.040000007</v>
      </c>
    </row>
    <row r="367" spans="1:36" ht="13.8" thickTop="1" x14ac:dyDescent="0.25">
      <c r="B367" s="256"/>
      <c r="C367" s="225"/>
      <c r="D367" s="225"/>
      <c r="E367" s="225"/>
      <c r="F367" s="225"/>
      <c r="G367" s="225"/>
      <c r="H367" s="225"/>
      <c r="I367" s="225"/>
      <c r="J367" s="225"/>
      <c r="K367" s="225"/>
      <c r="L367" s="225"/>
      <c r="M367" s="225"/>
      <c r="N367" s="225"/>
      <c r="O367" s="225"/>
      <c r="U367" s="256"/>
      <c r="AA367" s="225"/>
      <c r="AB367" s="225"/>
      <c r="AC367" s="225"/>
      <c r="AD367" s="225"/>
      <c r="AH367" s="184">
        <v>337</v>
      </c>
    </row>
    <row r="368" spans="1:36" x14ac:dyDescent="0.25">
      <c r="A368" s="224" t="s">
        <v>331</v>
      </c>
      <c r="C368" s="212"/>
      <c r="D368" s="225"/>
      <c r="E368" s="225"/>
      <c r="F368" s="262"/>
      <c r="G368" s="225"/>
      <c r="H368" s="225"/>
      <c r="I368" s="225"/>
      <c r="J368" s="225"/>
      <c r="K368" s="225"/>
      <c r="L368" s="225"/>
      <c r="M368" s="225"/>
      <c r="N368" s="225"/>
      <c r="O368" s="225"/>
      <c r="U368" s="256"/>
      <c r="AA368" s="225"/>
      <c r="AB368" s="225"/>
      <c r="AC368" s="225"/>
      <c r="AD368" s="225"/>
      <c r="AH368" s="184">
        <v>338</v>
      </c>
    </row>
    <row r="369" spans="1:36" x14ac:dyDescent="0.25">
      <c r="B369" s="256" t="s">
        <v>332</v>
      </c>
      <c r="C369" s="225">
        <v>4000000</v>
      </c>
      <c r="D369" s="225"/>
      <c r="E369" s="225"/>
      <c r="F369" s="225">
        <v>0</v>
      </c>
      <c r="G369" s="225">
        <f>[1]UMCP!F317</f>
        <v>4000000</v>
      </c>
      <c r="H369" s="225">
        <f>[1]UMCP!H317</f>
        <v>4000000</v>
      </c>
      <c r="I369" s="225"/>
      <c r="J369" s="225"/>
      <c r="K369" s="225">
        <f>[1]UMCP!K317</f>
        <v>0</v>
      </c>
      <c r="L369" s="221">
        <f>G369-H369-I369-J369-K369</f>
        <v>0</v>
      </c>
      <c r="M369" s="221">
        <f>H369-N369-O369</f>
        <v>0</v>
      </c>
      <c r="N369" s="221">
        <v>0</v>
      </c>
      <c r="O369" s="221">
        <v>4000000</v>
      </c>
      <c r="U369" s="256"/>
      <c r="AA369" s="225"/>
      <c r="AB369" s="225"/>
      <c r="AC369" s="225"/>
      <c r="AD369" s="225"/>
      <c r="AF369" s="195">
        <f>C369+D369+E369-F369-G369</f>
        <v>0</v>
      </c>
      <c r="AH369" s="184">
        <v>339</v>
      </c>
      <c r="AJ369" s="184">
        <v>4000000</v>
      </c>
    </row>
    <row r="370" spans="1:36" x14ac:dyDescent="0.25">
      <c r="B370" s="256" t="s">
        <v>333</v>
      </c>
      <c r="C370" s="225">
        <f>1000000+8780000</f>
        <v>9780000</v>
      </c>
      <c r="D370" s="225"/>
      <c r="E370" s="225"/>
      <c r="F370" s="225">
        <f>9312023.08</f>
        <v>9312023.0800000001</v>
      </c>
      <c r="G370" s="225">
        <f>[1]UMCP!F285</f>
        <v>467976.91999999993</v>
      </c>
      <c r="H370" s="225">
        <f>[1]UMCP!H285</f>
        <v>467976.92</v>
      </c>
      <c r="I370" s="225"/>
      <c r="J370" s="225"/>
      <c r="K370" s="225">
        <f>[1]UMCP!K285</f>
        <v>0</v>
      </c>
      <c r="L370" s="221">
        <f>G370-H370-I370-J370-K370</f>
        <v>-5.8207660913467407E-11</v>
      </c>
      <c r="M370" s="221">
        <f>H370-N370-O370</f>
        <v>0</v>
      </c>
      <c r="N370" s="221">
        <v>0</v>
      </c>
      <c r="O370" s="221">
        <v>467976.92</v>
      </c>
      <c r="U370" s="256"/>
      <c r="AA370" s="225"/>
      <c r="AB370" s="225"/>
      <c r="AC370" s="225"/>
      <c r="AD370" s="225"/>
      <c r="AF370" s="195">
        <f>C370+D370+E370-F370-G370</f>
        <v>0</v>
      </c>
      <c r="AH370" s="184">
        <v>340</v>
      </c>
      <c r="AJ370" s="184">
        <v>467976.92</v>
      </c>
    </row>
    <row r="371" spans="1:36" x14ac:dyDescent="0.25">
      <c r="B371" s="256" t="s">
        <v>334</v>
      </c>
      <c r="C371" s="225">
        <v>13100000</v>
      </c>
      <c r="D371" s="225"/>
      <c r="E371" s="225"/>
      <c r="F371" s="225">
        <f>5842776.86+7257223.14</f>
        <v>13100000</v>
      </c>
      <c r="G371" s="225">
        <f>[1]UMBC!F135</f>
        <v>0</v>
      </c>
      <c r="H371" s="225">
        <f>[1]UMBC!H135</f>
        <v>0</v>
      </c>
      <c r="I371" s="225"/>
      <c r="J371" s="225"/>
      <c r="K371" s="225"/>
      <c r="L371" s="221">
        <f>G371-H371-I371-J371-K371</f>
        <v>0</v>
      </c>
      <c r="M371" s="221">
        <f>H371-N371-O371</f>
        <v>0</v>
      </c>
      <c r="N371" s="221">
        <v>0</v>
      </c>
      <c r="O371" s="221">
        <v>0</v>
      </c>
      <c r="U371" s="256"/>
      <c r="AA371" s="225"/>
      <c r="AB371" s="225"/>
      <c r="AC371" s="225"/>
      <c r="AD371" s="225"/>
      <c r="AF371" s="195">
        <f>C371+D371+E371-F371-G371</f>
        <v>0</v>
      </c>
      <c r="AH371" s="184">
        <v>341</v>
      </c>
      <c r="AJ371" s="184">
        <v>0</v>
      </c>
    </row>
    <row r="372" spans="1:36" x14ac:dyDescent="0.25">
      <c r="B372" s="256" t="s">
        <v>335</v>
      </c>
      <c r="C372" s="225">
        <v>25100000</v>
      </c>
      <c r="D372" s="225"/>
      <c r="E372" s="225"/>
      <c r="F372" s="225">
        <f>1995.27+25052096.18</f>
        <v>25054091.449999999</v>
      </c>
      <c r="G372" s="225">
        <f>[1]TU!F577</f>
        <v>45908.550000000745</v>
      </c>
      <c r="H372" s="225">
        <f>[1]TU!H577</f>
        <v>0</v>
      </c>
      <c r="I372" s="225"/>
      <c r="J372" s="225"/>
      <c r="K372" s="225"/>
      <c r="L372" s="221">
        <f>G372-H372-I372-J372-K372</f>
        <v>45908.550000000745</v>
      </c>
      <c r="M372" s="221">
        <f>H372-N372-O372</f>
        <v>0</v>
      </c>
      <c r="N372" s="221">
        <v>0</v>
      </c>
      <c r="O372" s="221">
        <v>0</v>
      </c>
      <c r="U372" s="256"/>
      <c r="AA372" s="225"/>
      <c r="AB372" s="225"/>
      <c r="AC372" s="225"/>
      <c r="AD372" s="225"/>
      <c r="AF372" s="195">
        <f>C372+D372+E372-F372-G372</f>
        <v>0</v>
      </c>
      <c r="AH372" s="184">
        <v>342</v>
      </c>
      <c r="AJ372" s="184">
        <v>0</v>
      </c>
    </row>
    <row r="373" spans="1:36" x14ac:dyDescent="0.25">
      <c r="B373" s="256" t="s">
        <v>316</v>
      </c>
      <c r="C373" s="225">
        <v>20513000</v>
      </c>
      <c r="D373" s="225"/>
      <c r="E373" s="225"/>
      <c r="F373" s="225">
        <v>20513000</v>
      </c>
      <c r="G373" s="225">
        <f>[1]TU!F389</f>
        <v>0</v>
      </c>
      <c r="H373" s="225">
        <f>[1]TU!H389</f>
        <v>0</v>
      </c>
      <c r="I373" s="225"/>
      <c r="J373" s="225"/>
      <c r="K373" s="225"/>
      <c r="L373" s="221">
        <f>G373-H373-I373-J373-K373</f>
        <v>0</v>
      </c>
      <c r="M373" s="221">
        <f>H373-N373-O373</f>
        <v>0</v>
      </c>
      <c r="N373" s="221">
        <v>0</v>
      </c>
      <c r="O373" s="221">
        <v>0</v>
      </c>
      <c r="U373" s="256"/>
      <c r="AA373" s="225"/>
      <c r="AB373" s="225"/>
      <c r="AC373" s="225"/>
      <c r="AD373" s="225"/>
      <c r="AF373" s="195">
        <f>C373+D373+E373-F373-G373</f>
        <v>0</v>
      </c>
      <c r="AH373" s="184">
        <v>343</v>
      </c>
      <c r="AJ373" s="184">
        <v>0</v>
      </c>
    </row>
    <row r="374" spans="1:36" x14ac:dyDescent="0.25">
      <c r="B374" s="256"/>
      <c r="C374" s="225"/>
      <c r="D374" s="225"/>
      <c r="E374" s="225"/>
      <c r="F374" s="225"/>
      <c r="G374" s="225"/>
      <c r="H374" s="225"/>
      <c r="I374" s="225"/>
      <c r="J374" s="225"/>
      <c r="K374" s="225"/>
      <c r="L374" s="225"/>
      <c r="M374" s="225"/>
      <c r="N374" s="225"/>
      <c r="O374" s="225"/>
      <c r="U374" s="256"/>
      <c r="AA374" s="225"/>
      <c r="AB374" s="225"/>
      <c r="AC374" s="225"/>
      <c r="AD374" s="225"/>
      <c r="AH374" s="184">
        <v>344</v>
      </c>
    </row>
    <row r="375" spans="1:36" ht="13.8" thickBot="1" x14ac:dyDescent="0.3">
      <c r="B375" s="260" t="s">
        <v>336</v>
      </c>
      <c r="C375" s="228">
        <f t="shared" ref="C375:O375" si="77">SUM(C369:C374)</f>
        <v>72493000</v>
      </c>
      <c r="D375" s="228">
        <f t="shared" si="77"/>
        <v>0</v>
      </c>
      <c r="E375" s="228">
        <f t="shared" si="77"/>
        <v>0</v>
      </c>
      <c r="F375" s="228">
        <f t="shared" si="77"/>
        <v>67979114.530000001</v>
      </c>
      <c r="G375" s="228">
        <f t="shared" si="77"/>
        <v>4513885.4700000007</v>
      </c>
      <c r="H375" s="228">
        <f t="shared" si="77"/>
        <v>4467976.92</v>
      </c>
      <c r="I375" s="228">
        <f t="shared" si="77"/>
        <v>0</v>
      </c>
      <c r="J375" s="228">
        <f t="shared" si="77"/>
        <v>0</v>
      </c>
      <c r="K375" s="228">
        <f t="shared" si="77"/>
        <v>0</v>
      </c>
      <c r="L375" s="228">
        <f t="shared" si="77"/>
        <v>45908.550000000687</v>
      </c>
      <c r="M375" s="228">
        <f t="shared" si="77"/>
        <v>0</v>
      </c>
      <c r="N375" s="228">
        <f t="shared" si="77"/>
        <v>0</v>
      </c>
      <c r="O375" s="228">
        <f t="shared" si="77"/>
        <v>4467976.92</v>
      </c>
      <c r="U375" s="260" t="s">
        <v>313</v>
      </c>
      <c r="V375" s="192">
        <v>308</v>
      </c>
      <c r="AA375" s="228" t="e">
        <f>SUM(AA333:AA374)</f>
        <v>#REF!</v>
      </c>
      <c r="AB375" s="228" t="e">
        <f>SUM(AB333:AB374)</f>
        <v>#REF!</v>
      </c>
      <c r="AC375" s="228" t="e">
        <f>SUM(AC333:AC374)</f>
        <v>#REF!</v>
      </c>
      <c r="AD375" s="228" t="e">
        <f>SUM(AD333:AD374)</f>
        <v>#REF!</v>
      </c>
      <c r="AF375" s="195">
        <f>C375+D375+E375-F375-G375</f>
        <v>0</v>
      </c>
      <c r="AH375" s="184">
        <v>345</v>
      </c>
      <c r="AJ375" s="184">
        <v>4467976.92</v>
      </c>
    </row>
    <row r="376" spans="1:36" ht="13.8" thickTop="1" x14ac:dyDescent="0.25">
      <c r="B376" s="256"/>
      <c r="C376" s="225"/>
      <c r="D376" s="225"/>
      <c r="E376" s="225"/>
      <c r="F376" s="225"/>
      <c r="G376" s="225"/>
      <c r="H376" s="225"/>
      <c r="I376" s="225"/>
      <c r="J376" s="225"/>
      <c r="K376" s="225"/>
      <c r="L376" s="225"/>
      <c r="M376" s="225"/>
      <c r="N376" s="225"/>
      <c r="O376" s="225"/>
      <c r="U376" s="256"/>
      <c r="AA376" s="225"/>
      <c r="AB376" s="225"/>
      <c r="AC376" s="225"/>
      <c r="AD376" s="225"/>
      <c r="AH376" s="184">
        <v>346</v>
      </c>
    </row>
    <row r="377" spans="1:36" x14ac:dyDescent="0.25">
      <c r="A377" s="224" t="s">
        <v>337</v>
      </c>
      <c r="C377" s="212"/>
      <c r="D377" s="225"/>
      <c r="E377" s="225"/>
      <c r="F377" s="225"/>
      <c r="G377" s="225"/>
      <c r="H377" s="225"/>
      <c r="I377" s="225"/>
      <c r="J377" s="225"/>
      <c r="K377" s="225"/>
      <c r="L377" s="225"/>
      <c r="M377" s="225"/>
      <c r="N377" s="225"/>
      <c r="O377" s="225"/>
      <c r="U377" s="256"/>
      <c r="AA377" s="225"/>
      <c r="AB377" s="225"/>
      <c r="AC377" s="225"/>
      <c r="AD377" s="225"/>
      <c r="AH377" s="184">
        <v>347</v>
      </c>
    </row>
    <row r="378" spans="1:36" x14ac:dyDescent="0.25">
      <c r="B378" s="256" t="s">
        <v>338</v>
      </c>
      <c r="C378" s="225">
        <v>12000000</v>
      </c>
      <c r="D378" s="225"/>
      <c r="E378" s="225"/>
      <c r="F378" s="225">
        <f>3999642.27+8000357.73</f>
        <v>12000000</v>
      </c>
      <c r="G378" s="225">
        <f>[1]UMBC!F142</f>
        <v>0</v>
      </c>
      <c r="H378" s="225">
        <f>[1]UMBC!H142</f>
        <v>0</v>
      </c>
      <c r="I378" s="225"/>
      <c r="J378" s="225"/>
      <c r="K378" s="225"/>
      <c r="L378" s="221">
        <f>G378-H378-I378-J378-K378</f>
        <v>0</v>
      </c>
      <c r="M378" s="221">
        <f>H378-N378-O378</f>
        <v>0</v>
      </c>
      <c r="N378" s="221"/>
      <c r="O378" s="221">
        <v>0</v>
      </c>
      <c r="U378" s="256"/>
      <c r="AA378" s="225"/>
      <c r="AB378" s="225"/>
      <c r="AC378" s="225"/>
      <c r="AD378" s="225"/>
      <c r="AF378" s="195">
        <f>C378+D378+E378-F378-G378</f>
        <v>0</v>
      </c>
      <c r="AH378" s="184">
        <v>348</v>
      </c>
      <c r="AJ378" s="184">
        <v>0</v>
      </c>
    </row>
    <row r="379" spans="1:36" x14ac:dyDescent="0.25">
      <c r="B379" s="256" t="s">
        <v>339</v>
      </c>
      <c r="C379" s="225">
        <v>92500000</v>
      </c>
      <c r="D379" s="225"/>
      <c r="E379" s="225"/>
      <c r="F379" s="225">
        <f>8196.62</f>
        <v>8196.6200000000008</v>
      </c>
      <c r="G379" s="225">
        <f>[1]SU!F94+[1]SU!F86</f>
        <v>92491803.379999995</v>
      </c>
      <c r="H379" s="225">
        <f>[1]SU!H94+[1]SU!H86</f>
        <v>0</v>
      </c>
      <c r="I379" s="225"/>
      <c r="J379" s="225"/>
      <c r="K379" s="225">
        <f>[1]SU!K94</f>
        <v>0</v>
      </c>
      <c r="L379" s="221">
        <f>G379-H379-I379-J379-K379</f>
        <v>92491803.379999995</v>
      </c>
      <c r="M379" s="221">
        <f>H379-N379-O379</f>
        <v>0</v>
      </c>
      <c r="N379" s="221">
        <v>0</v>
      </c>
      <c r="O379" s="221">
        <v>0</v>
      </c>
      <c r="U379" s="256"/>
      <c r="AA379" s="225"/>
      <c r="AB379" s="225"/>
      <c r="AC379" s="225"/>
      <c r="AD379" s="225"/>
      <c r="AF379" s="195">
        <f>C379+D379+E379-F379-G379</f>
        <v>0</v>
      </c>
      <c r="AH379" s="184">
        <v>349</v>
      </c>
      <c r="AJ379" s="184">
        <v>0</v>
      </c>
    </row>
    <row r="380" spans="1:36" x14ac:dyDescent="0.25">
      <c r="B380" s="256"/>
      <c r="C380" s="225"/>
      <c r="D380" s="225"/>
      <c r="E380" s="225"/>
      <c r="F380" s="225"/>
      <c r="G380" s="225"/>
      <c r="H380" s="225"/>
      <c r="I380" s="225"/>
      <c r="J380" s="225"/>
      <c r="K380" s="225"/>
      <c r="L380" s="225"/>
      <c r="M380" s="225"/>
      <c r="N380" s="225"/>
      <c r="O380" s="225"/>
      <c r="U380" s="256"/>
      <c r="AA380" s="225"/>
      <c r="AB380" s="225"/>
      <c r="AC380" s="225"/>
      <c r="AD380" s="225"/>
      <c r="AH380" s="184">
        <v>350</v>
      </c>
    </row>
    <row r="381" spans="1:36" ht="13.8" thickBot="1" x14ac:dyDescent="0.3">
      <c r="B381" s="260" t="s">
        <v>340</v>
      </c>
      <c r="C381" s="228">
        <f>SUM(C378:C380)</f>
        <v>104500000</v>
      </c>
      <c r="D381" s="228">
        <f t="shared" ref="D381:O381" si="78">SUM(D378:D380)</f>
        <v>0</v>
      </c>
      <c r="E381" s="228">
        <f t="shared" si="78"/>
        <v>0</v>
      </c>
      <c r="F381" s="228">
        <f t="shared" si="78"/>
        <v>12008196.619999999</v>
      </c>
      <c r="G381" s="228">
        <f t="shared" si="78"/>
        <v>92491803.379999995</v>
      </c>
      <c r="H381" s="228">
        <f>SUM(H378:H380)</f>
        <v>0</v>
      </c>
      <c r="I381" s="228">
        <f t="shared" si="78"/>
        <v>0</v>
      </c>
      <c r="J381" s="228">
        <f t="shared" si="78"/>
        <v>0</v>
      </c>
      <c r="K381" s="228">
        <f t="shared" si="78"/>
        <v>0</v>
      </c>
      <c r="L381" s="228">
        <f t="shared" si="78"/>
        <v>92491803.379999995</v>
      </c>
      <c r="M381" s="228">
        <f t="shared" si="78"/>
        <v>0</v>
      </c>
      <c r="N381" s="228">
        <f t="shared" si="78"/>
        <v>0</v>
      </c>
      <c r="O381" s="228">
        <f t="shared" si="78"/>
        <v>0</v>
      </c>
      <c r="U381" s="260" t="s">
        <v>313</v>
      </c>
      <c r="V381" s="192">
        <v>308</v>
      </c>
      <c r="AA381" s="228" t="e">
        <f>SUM(AA333:AA380)</f>
        <v>#REF!</v>
      </c>
      <c r="AB381" s="228" t="e">
        <f>SUM(AB333:AB380)</f>
        <v>#REF!</v>
      </c>
      <c r="AC381" s="228" t="e">
        <f>SUM(AC333:AC380)</f>
        <v>#REF!</v>
      </c>
      <c r="AD381" s="228" t="e">
        <f>SUM(AD333:AD380)</f>
        <v>#REF!</v>
      </c>
      <c r="AF381" s="195">
        <f>C381+D381+E381-F381-G381</f>
        <v>0</v>
      </c>
      <c r="AH381" s="184">
        <v>351</v>
      </c>
      <c r="AJ381" s="184">
        <v>0</v>
      </c>
    </row>
    <row r="382" spans="1:36" ht="13.8" thickTop="1" x14ac:dyDescent="0.25">
      <c r="B382" s="256"/>
      <c r="C382" s="225"/>
      <c r="D382" s="225"/>
      <c r="E382" s="225"/>
      <c r="F382" s="225"/>
      <c r="G382" s="225"/>
      <c r="H382" s="225"/>
      <c r="I382" s="225"/>
      <c r="J382" s="225"/>
      <c r="K382" s="225"/>
      <c r="L382" s="225"/>
      <c r="M382" s="225"/>
      <c r="N382" s="225"/>
      <c r="O382" s="225"/>
      <c r="U382" s="256"/>
      <c r="AA382" s="225"/>
      <c r="AB382" s="225"/>
      <c r="AC382" s="225"/>
      <c r="AD382" s="225"/>
      <c r="AH382" s="184">
        <v>352</v>
      </c>
    </row>
    <row r="383" spans="1:36" x14ac:dyDescent="0.25">
      <c r="A383" s="224" t="s">
        <v>341</v>
      </c>
      <c r="C383" s="212"/>
      <c r="D383" s="212"/>
      <c r="E383" s="222"/>
      <c r="F383" s="189"/>
      <c r="G383" s="221"/>
      <c r="H383" s="226"/>
      <c r="I383" s="221"/>
      <c r="J383" s="221"/>
      <c r="K383" s="221"/>
      <c r="L383" s="221"/>
      <c r="M383" s="221"/>
      <c r="N383" s="221"/>
      <c r="O383" s="221"/>
      <c r="AD383" s="194">
        <f t="shared" ref="AD383:AD389" si="79">AA383+AB383+AC383</f>
        <v>0</v>
      </c>
      <c r="AH383" s="184">
        <v>353</v>
      </c>
    </row>
    <row r="384" spans="1:36" x14ac:dyDescent="0.25">
      <c r="B384" s="184" t="s">
        <v>342</v>
      </c>
      <c r="C384" s="212">
        <v>12000000</v>
      </c>
      <c r="D384" s="212"/>
      <c r="E384" s="222"/>
      <c r="F384" s="221">
        <f>154530.8+7892487.67+3952981.53</f>
        <v>12000000</v>
      </c>
      <c r="G384" s="221">
        <f>[1]UMCP!F295</f>
        <v>0</v>
      </c>
      <c r="H384" s="226">
        <f>[1]UMCP!H295</f>
        <v>0</v>
      </c>
      <c r="I384" s="221">
        <f>[1]UMCP!I295</f>
        <v>0</v>
      </c>
      <c r="J384" s="221">
        <f>[1]UMCP!J295</f>
        <v>0</v>
      </c>
      <c r="K384" s="221">
        <f>[1]UMCP!K295</f>
        <v>0</v>
      </c>
      <c r="L384" s="221">
        <f t="shared" ref="L384:L391" si="80">G384-H384-I384-J384-K384</f>
        <v>0</v>
      </c>
      <c r="M384" s="221">
        <f t="shared" ref="M384:M391" si="81">H384-N384-O384</f>
        <v>0</v>
      </c>
      <c r="N384" s="221">
        <v>0</v>
      </c>
      <c r="O384" s="221">
        <v>0</v>
      </c>
      <c r="P384" s="218">
        <v>44</v>
      </c>
      <c r="Q384" s="218">
        <v>39</v>
      </c>
      <c r="R384" s="218" t="s">
        <v>343</v>
      </c>
      <c r="AD384" s="194">
        <f t="shared" si="79"/>
        <v>0</v>
      </c>
      <c r="AF384" s="195">
        <f t="shared" ref="AF384:AF391" si="82">C384+D384+E384-F384-G384</f>
        <v>0</v>
      </c>
      <c r="AH384" s="184">
        <v>354</v>
      </c>
      <c r="AJ384" s="184">
        <v>0</v>
      </c>
    </row>
    <row r="385" spans="1:36" x14ac:dyDescent="0.25">
      <c r="B385" s="184" t="s">
        <v>332</v>
      </c>
      <c r="C385" s="212">
        <v>26500000</v>
      </c>
      <c r="D385" s="212"/>
      <c r="E385" s="222"/>
      <c r="F385" s="221">
        <f>20828474.09</f>
        <v>20828474.09</v>
      </c>
      <c r="G385" s="221">
        <f>[1]UMCP!F326</f>
        <v>5671525.9100000001</v>
      </c>
      <c r="H385" s="226">
        <f>[1]UMCP!H326</f>
        <v>5671525.9100000001</v>
      </c>
      <c r="I385" s="221">
        <f>[1]UMCP!I326</f>
        <v>0</v>
      </c>
      <c r="J385" s="221">
        <f>[1]UMCP!J326</f>
        <v>0</v>
      </c>
      <c r="K385" s="221">
        <f>[1]UMCP!K326</f>
        <v>0</v>
      </c>
      <c r="L385" s="221">
        <f>G385-H385-I385-J385-K385</f>
        <v>0</v>
      </c>
      <c r="M385" s="221">
        <f t="shared" si="81"/>
        <v>0</v>
      </c>
      <c r="N385" s="221">
        <v>0</v>
      </c>
      <c r="O385" s="221">
        <v>5671525.9100000001</v>
      </c>
      <c r="P385" s="218">
        <v>45</v>
      </c>
      <c r="Q385" s="218">
        <v>39</v>
      </c>
      <c r="R385" s="218" t="s">
        <v>343</v>
      </c>
      <c r="AD385" s="194">
        <f t="shared" si="79"/>
        <v>0</v>
      </c>
      <c r="AF385" s="195">
        <f t="shared" si="82"/>
        <v>0</v>
      </c>
      <c r="AH385" s="184">
        <v>355</v>
      </c>
      <c r="AJ385" s="184">
        <v>5671525.9100000001</v>
      </c>
    </row>
    <row r="386" spans="1:36" x14ac:dyDescent="0.25">
      <c r="B386" s="184" t="s">
        <v>344</v>
      </c>
      <c r="C386" s="225">
        <v>1500000</v>
      </c>
      <c r="D386" s="212"/>
      <c r="E386" s="222"/>
      <c r="F386" s="262"/>
      <c r="G386" s="221">
        <f>[1]UMCP!F241</f>
        <v>1500000</v>
      </c>
      <c r="H386" s="226">
        <f>[1]UMCP!H241</f>
        <v>0</v>
      </c>
      <c r="I386" s="221">
        <f>[1]UMCP!I241</f>
        <v>0</v>
      </c>
      <c r="J386" s="221">
        <f>[1]UMCP!J241</f>
        <v>0</v>
      </c>
      <c r="K386" s="221">
        <f>[1]UMCP!K241</f>
        <v>0</v>
      </c>
      <c r="L386" s="221">
        <f t="shared" si="80"/>
        <v>1500000</v>
      </c>
      <c r="M386" s="221">
        <f t="shared" si="81"/>
        <v>0</v>
      </c>
      <c r="N386" s="221">
        <v>0</v>
      </c>
      <c r="O386" s="221">
        <v>0</v>
      </c>
      <c r="P386" s="218">
        <v>46</v>
      </c>
      <c r="Q386" s="218">
        <v>39</v>
      </c>
      <c r="R386" s="218" t="s">
        <v>343</v>
      </c>
      <c r="AD386" s="194">
        <f t="shared" si="79"/>
        <v>0</v>
      </c>
      <c r="AF386" s="195">
        <f t="shared" si="82"/>
        <v>0</v>
      </c>
      <c r="AH386" s="184">
        <v>356</v>
      </c>
      <c r="AJ386" s="184">
        <v>0</v>
      </c>
    </row>
    <row r="387" spans="1:36" hidden="1" x14ac:dyDescent="0.25">
      <c r="B387" s="184" t="s">
        <v>334</v>
      </c>
      <c r="C387" s="225">
        <v>9900000</v>
      </c>
      <c r="D387" s="212"/>
      <c r="E387" s="222"/>
      <c r="F387" s="221">
        <f>26214.56+9873785.44</f>
        <v>9900000</v>
      </c>
      <c r="G387" s="221">
        <v>0</v>
      </c>
      <c r="H387" s="226">
        <v>0</v>
      </c>
      <c r="I387" s="221">
        <v>0</v>
      </c>
      <c r="J387" s="221">
        <v>0</v>
      </c>
      <c r="K387" s="221">
        <v>0</v>
      </c>
      <c r="L387" s="221">
        <f t="shared" si="80"/>
        <v>0</v>
      </c>
      <c r="M387" s="221">
        <f t="shared" si="81"/>
        <v>0</v>
      </c>
      <c r="N387" s="221">
        <v>0</v>
      </c>
      <c r="O387" s="221">
        <v>0</v>
      </c>
      <c r="AF387" s="195">
        <f t="shared" si="82"/>
        <v>0</v>
      </c>
      <c r="AH387" s="184">
        <v>357</v>
      </c>
      <c r="AJ387" s="184">
        <v>0</v>
      </c>
    </row>
    <row r="388" spans="1:36" x14ac:dyDescent="0.25">
      <c r="B388" s="184" t="s">
        <v>345</v>
      </c>
      <c r="C388" s="212">
        <v>13330000</v>
      </c>
      <c r="D388" s="212"/>
      <c r="E388" s="222"/>
      <c r="F388" s="221">
        <f>13317332.58</f>
        <v>13317332.58</v>
      </c>
      <c r="G388" s="221">
        <f>[1]FSU!F196</f>
        <v>12667.419999999925</v>
      </c>
      <c r="H388" s="226">
        <f>[1]FSU!H196</f>
        <v>0</v>
      </c>
      <c r="I388" s="221">
        <f>[1]FSU!I196</f>
        <v>0</v>
      </c>
      <c r="J388" s="221">
        <f>[1]FSU!J196</f>
        <v>0</v>
      </c>
      <c r="K388" s="221">
        <f>[1]FSU!K196</f>
        <v>0</v>
      </c>
      <c r="L388" s="221">
        <f t="shared" si="80"/>
        <v>12667.419999999925</v>
      </c>
      <c r="M388" s="221">
        <f t="shared" si="81"/>
        <v>0</v>
      </c>
      <c r="N388" s="221">
        <v>0</v>
      </c>
      <c r="O388" s="221">
        <v>0</v>
      </c>
      <c r="P388" s="218">
        <v>47</v>
      </c>
      <c r="Q388" s="218">
        <v>39</v>
      </c>
      <c r="R388" s="218" t="s">
        <v>343</v>
      </c>
      <c r="AD388" s="194">
        <f t="shared" si="79"/>
        <v>0</v>
      </c>
      <c r="AF388" s="195">
        <f t="shared" si="82"/>
        <v>0</v>
      </c>
      <c r="AH388" s="184">
        <v>358</v>
      </c>
      <c r="AJ388" s="184">
        <v>0</v>
      </c>
    </row>
    <row r="389" spans="1:36" x14ac:dyDescent="0.25">
      <c r="B389" s="184" t="s">
        <v>346</v>
      </c>
      <c r="C389" s="212">
        <v>7700000</v>
      </c>
      <c r="D389" s="212"/>
      <c r="E389" s="222"/>
      <c r="F389" s="221">
        <f>1990561.7+1418383.39+637208.77</f>
        <v>4046153.86</v>
      </c>
      <c r="G389" s="221">
        <f>[1]FSU!F183</f>
        <v>3653846.1400000011</v>
      </c>
      <c r="H389" s="226">
        <f>[1]FSU!H183</f>
        <v>90028.61</v>
      </c>
      <c r="I389" s="221">
        <f>[1]FSU!I183</f>
        <v>0</v>
      </c>
      <c r="J389" s="221">
        <f>[1]FSU!J183</f>
        <v>0</v>
      </c>
      <c r="K389" s="221">
        <f>[1]FSU!K183</f>
        <v>0</v>
      </c>
      <c r="L389" s="221">
        <f t="shared" si="80"/>
        <v>3563817.5300000012</v>
      </c>
      <c r="M389" s="221">
        <f t="shared" si="81"/>
        <v>43883.37</v>
      </c>
      <c r="N389" s="221">
        <v>46145.24</v>
      </c>
      <c r="O389" s="221">
        <v>0</v>
      </c>
      <c r="P389" s="218">
        <v>48</v>
      </c>
      <c r="Q389" s="218">
        <v>39</v>
      </c>
      <c r="R389" s="218" t="s">
        <v>343</v>
      </c>
      <c r="AD389" s="194">
        <f t="shared" si="79"/>
        <v>0</v>
      </c>
      <c r="AF389" s="195">
        <f t="shared" si="82"/>
        <v>0</v>
      </c>
      <c r="AH389" s="184">
        <v>359</v>
      </c>
      <c r="AJ389" s="184">
        <v>0</v>
      </c>
    </row>
    <row r="390" spans="1:36" x14ac:dyDescent="0.25">
      <c r="B390" s="184" t="s">
        <v>335</v>
      </c>
      <c r="C390" s="212">
        <v>13000000</v>
      </c>
      <c r="D390" s="212"/>
      <c r="E390" s="222"/>
      <c r="F390" s="221">
        <f>369384.87+12614734.63</f>
        <v>12984119.5</v>
      </c>
      <c r="G390" s="221">
        <f>[1]TU!F586</f>
        <v>15880.5</v>
      </c>
      <c r="H390" s="226">
        <f>[1]TU!H586</f>
        <v>0</v>
      </c>
      <c r="I390" s="221">
        <f>[1]TU!I586</f>
        <v>0</v>
      </c>
      <c r="J390" s="221">
        <f>[1]TU!J586</f>
        <v>0</v>
      </c>
      <c r="K390" s="221">
        <f>[1]TU!K586</f>
        <v>0</v>
      </c>
      <c r="L390" s="221">
        <f t="shared" si="80"/>
        <v>15880.5</v>
      </c>
      <c r="M390" s="221">
        <f t="shared" si="81"/>
        <v>0</v>
      </c>
      <c r="N390" s="221">
        <v>0</v>
      </c>
      <c r="O390" s="221">
        <v>0</v>
      </c>
      <c r="AF390" s="195">
        <f t="shared" si="82"/>
        <v>0</v>
      </c>
      <c r="AH390" s="184">
        <v>360</v>
      </c>
      <c r="AJ390" s="184">
        <v>0</v>
      </c>
    </row>
    <row r="391" spans="1:36" x14ac:dyDescent="0.25">
      <c r="B391" s="184" t="s">
        <v>316</v>
      </c>
      <c r="C391" s="212">
        <v>4201000</v>
      </c>
      <c r="D391" s="212"/>
      <c r="E391" s="222"/>
      <c r="F391" s="221">
        <f>2299950.22+816599.94+38991.5</f>
        <v>3155541.66</v>
      </c>
      <c r="G391" s="221">
        <f>[1]TU!F401</f>
        <v>1045458.3399999999</v>
      </c>
      <c r="H391" s="226">
        <f>[1]TU!H401</f>
        <v>33104.050000000003</v>
      </c>
      <c r="I391" s="221">
        <f>[1]TU!I401</f>
        <v>0</v>
      </c>
      <c r="J391" s="221">
        <f>[1]TU!J401</f>
        <v>0</v>
      </c>
      <c r="K391" s="226">
        <f>[1]TU!K401</f>
        <v>0</v>
      </c>
      <c r="L391" s="221">
        <f t="shared" si="80"/>
        <v>1012354.2899999998</v>
      </c>
      <c r="M391" s="221">
        <f t="shared" si="81"/>
        <v>1198</v>
      </c>
      <c r="N391" s="221">
        <v>31906.050000000003</v>
      </c>
      <c r="O391" s="221">
        <v>0</v>
      </c>
      <c r="AF391" s="195">
        <f t="shared" si="82"/>
        <v>0</v>
      </c>
      <c r="AH391" s="184">
        <v>361</v>
      </c>
      <c r="AJ391" s="184">
        <v>0</v>
      </c>
    </row>
    <row r="392" spans="1:36" x14ac:dyDescent="0.25">
      <c r="C392" s="212"/>
      <c r="D392" s="212"/>
      <c r="E392" s="222"/>
      <c r="F392" s="222"/>
      <c r="G392" s="221"/>
      <c r="H392" s="226"/>
      <c r="I392" s="221"/>
      <c r="J392" s="221"/>
      <c r="K392" s="221"/>
      <c r="L392" s="221"/>
      <c r="M392" s="221"/>
      <c r="N392" s="221"/>
      <c r="O392" s="221"/>
      <c r="AH392" s="184">
        <v>362</v>
      </c>
    </row>
    <row r="393" spans="1:36" ht="13.8" thickBot="1" x14ac:dyDescent="0.3">
      <c r="B393" s="260" t="s">
        <v>347</v>
      </c>
      <c r="C393" s="228">
        <f>SUM(C384:C392)</f>
        <v>88131000</v>
      </c>
      <c r="D393" s="228">
        <f t="shared" ref="D393:O393" si="83">SUM(D384:D392)</f>
        <v>0</v>
      </c>
      <c r="E393" s="228">
        <f t="shared" si="83"/>
        <v>0</v>
      </c>
      <c r="F393" s="228">
        <f t="shared" si="83"/>
        <v>76231621.689999998</v>
      </c>
      <c r="G393" s="228">
        <f t="shared" si="83"/>
        <v>11899378.310000001</v>
      </c>
      <c r="H393" s="228">
        <f t="shared" si="83"/>
        <v>5794658.5700000003</v>
      </c>
      <c r="I393" s="228">
        <f t="shared" si="83"/>
        <v>0</v>
      </c>
      <c r="J393" s="228">
        <f t="shared" si="83"/>
        <v>0</v>
      </c>
      <c r="K393" s="228">
        <f t="shared" si="83"/>
        <v>0</v>
      </c>
      <c r="L393" s="228">
        <f t="shared" si="83"/>
        <v>6104719.7400000012</v>
      </c>
      <c r="M393" s="228">
        <f t="shared" si="83"/>
        <v>45081.37</v>
      </c>
      <c r="N393" s="228">
        <f t="shared" si="83"/>
        <v>78051.290000000008</v>
      </c>
      <c r="O393" s="228">
        <f t="shared" si="83"/>
        <v>5671525.9100000001</v>
      </c>
      <c r="U393" s="260" t="s">
        <v>313</v>
      </c>
      <c r="V393" s="192">
        <v>308</v>
      </c>
      <c r="AA393" s="228">
        <f>SUM(AA384:AA392)</f>
        <v>0</v>
      </c>
      <c r="AB393" s="228">
        <f>SUM(AB384:AB392)</f>
        <v>0</v>
      </c>
      <c r="AC393" s="228">
        <f>SUM(AC384:AC392)</f>
        <v>0</v>
      </c>
      <c r="AD393" s="228">
        <f>SUM(AD384:AD392)</f>
        <v>0</v>
      </c>
      <c r="AF393" s="195">
        <f>C393+D393+E393-F393-G393</f>
        <v>0</v>
      </c>
      <c r="AH393" s="184">
        <v>363</v>
      </c>
      <c r="AJ393" s="184">
        <v>5671525.9100000001</v>
      </c>
    </row>
    <row r="394" spans="1:36" ht="13.8" thickTop="1" x14ac:dyDescent="0.25">
      <c r="C394" s="212"/>
      <c r="D394" s="212"/>
      <c r="E394" s="222"/>
      <c r="F394" s="222"/>
      <c r="G394" s="221"/>
      <c r="H394" s="226"/>
      <c r="I394" s="221"/>
      <c r="J394" s="221"/>
      <c r="K394" s="221"/>
      <c r="L394" s="221"/>
      <c r="M394" s="221"/>
      <c r="N394" s="221"/>
      <c r="O394" s="221"/>
      <c r="V394" s="192">
        <v>299</v>
      </c>
      <c r="AH394" s="184">
        <v>364</v>
      </c>
    </row>
    <row r="395" spans="1:36" x14ac:dyDescent="0.25">
      <c r="A395" s="224" t="s">
        <v>348</v>
      </c>
      <c r="C395" s="212"/>
      <c r="D395" s="212"/>
      <c r="E395" s="222"/>
      <c r="F395" s="262"/>
      <c r="G395" s="221"/>
      <c r="H395" s="226"/>
      <c r="I395" s="221"/>
      <c r="J395" s="221"/>
      <c r="K395" s="221"/>
      <c r="L395" s="221"/>
      <c r="M395" s="221"/>
      <c r="N395" s="221"/>
      <c r="O395" s="221"/>
      <c r="AD395" s="194">
        <f t="shared" ref="AD395:AD400" si="84">AA395+AB395+AC395</f>
        <v>0</v>
      </c>
      <c r="AH395" s="184">
        <v>365</v>
      </c>
    </row>
    <row r="396" spans="1:36" hidden="1" x14ac:dyDescent="0.25">
      <c r="B396" s="184" t="s">
        <v>349</v>
      </c>
      <c r="C396" s="212">
        <v>3000000</v>
      </c>
      <c r="D396" s="212"/>
      <c r="E396" s="222"/>
      <c r="F396" s="221">
        <f>3000000</f>
        <v>3000000</v>
      </c>
      <c r="G396" s="221">
        <v>0</v>
      </c>
      <c r="H396" s="226">
        <v>0</v>
      </c>
      <c r="I396" s="221">
        <v>0</v>
      </c>
      <c r="J396" s="221">
        <v>0</v>
      </c>
      <c r="K396" s="221">
        <v>0</v>
      </c>
      <c r="L396" s="221">
        <f>G396-H396-I396-J396-K396</f>
        <v>0</v>
      </c>
      <c r="M396" s="221"/>
      <c r="N396" s="221"/>
      <c r="O396" s="221"/>
      <c r="P396" s="218">
        <v>44</v>
      </c>
      <c r="Q396" s="218">
        <v>39</v>
      </c>
      <c r="R396" s="218" t="s">
        <v>343</v>
      </c>
      <c r="AD396" s="194">
        <f t="shared" si="84"/>
        <v>0</v>
      </c>
      <c r="AH396" s="184">
        <v>366</v>
      </c>
      <c r="AJ396" s="184">
        <v>0</v>
      </c>
    </row>
    <row r="397" spans="1:36" hidden="1" x14ac:dyDescent="0.25">
      <c r="B397" s="184" t="s">
        <v>332</v>
      </c>
      <c r="C397" s="212">
        <v>43000000</v>
      </c>
      <c r="D397" s="212"/>
      <c r="E397" s="222"/>
      <c r="F397" s="221">
        <f>43000000</f>
        <v>43000000</v>
      </c>
      <c r="G397" s="221">
        <f>[1]UMCP!F334</f>
        <v>0</v>
      </c>
      <c r="H397" s="226">
        <f>[1]UMCP!H334</f>
        <v>0</v>
      </c>
      <c r="I397" s="221">
        <f>[1]UMCP!I334</f>
        <v>0</v>
      </c>
      <c r="J397" s="221">
        <f>[1]UMCP!J334</f>
        <v>0</v>
      </c>
      <c r="K397" s="221">
        <f>[1]UMCP!K334</f>
        <v>0</v>
      </c>
      <c r="L397" s="221">
        <f>G397-H397-I397-J397-K397</f>
        <v>0</v>
      </c>
      <c r="M397" s="221"/>
      <c r="N397" s="221"/>
      <c r="O397" s="221">
        <f>H395+K395</f>
        <v>0</v>
      </c>
      <c r="P397" s="218">
        <v>45</v>
      </c>
      <c r="Q397" s="218">
        <v>39</v>
      </c>
      <c r="R397" s="218" t="s">
        <v>343</v>
      </c>
      <c r="AD397" s="194">
        <f t="shared" si="84"/>
        <v>0</v>
      </c>
      <c r="AH397" s="184">
        <v>367</v>
      </c>
      <c r="AJ397" s="184">
        <v>0</v>
      </c>
    </row>
    <row r="398" spans="1:36" x14ac:dyDescent="0.25">
      <c r="B398" s="184" t="s">
        <v>350</v>
      </c>
      <c r="C398" s="225">
        <v>2000000</v>
      </c>
      <c r="D398" s="212"/>
      <c r="E398" s="222"/>
      <c r="F398" s="221">
        <f>419922.48+51833</f>
        <v>471755.48</v>
      </c>
      <c r="G398" s="221">
        <f>[1]UMCP!F301</f>
        <v>1528244.52</v>
      </c>
      <c r="H398" s="226">
        <f>[1]UMCP!H301</f>
        <v>0</v>
      </c>
      <c r="I398" s="221">
        <f>[1]UMCP!I301</f>
        <v>0</v>
      </c>
      <c r="J398" s="221">
        <f>[1]UMCP!J301</f>
        <v>0</v>
      </c>
      <c r="K398" s="221">
        <f>[1]UMCP!K301</f>
        <v>0</v>
      </c>
      <c r="L398" s="221">
        <f>G398-H398-I398-J398-K398</f>
        <v>1528244.52</v>
      </c>
      <c r="M398" s="221">
        <f>H398-N398-O398</f>
        <v>0</v>
      </c>
      <c r="N398" s="221">
        <v>0</v>
      </c>
      <c r="O398" s="221">
        <v>0</v>
      </c>
      <c r="P398" s="218">
        <v>46</v>
      </c>
      <c r="Q398" s="218">
        <v>39</v>
      </c>
      <c r="R398" s="218" t="s">
        <v>343</v>
      </c>
      <c r="AD398" s="194">
        <f t="shared" si="84"/>
        <v>0</v>
      </c>
      <c r="AF398" s="195">
        <f>C398+D398+E398-F398-G398</f>
        <v>0</v>
      </c>
      <c r="AH398" s="184">
        <v>368</v>
      </c>
      <c r="AJ398" s="184">
        <v>0</v>
      </c>
    </row>
    <row r="399" spans="1:36" hidden="1" x14ac:dyDescent="0.25">
      <c r="B399" s="184" t="s">
        <v>345</v>
      </c>
      <c r="C399" s="212">
        <v>22920000</v>
      </c>
      <c r="D399" s="212"/>
      <c r="E399" s="222"/>
      <c r="F399" s="221">
        <f>16576413.36+6343586.64</f>
        <v>22920000</v>
      </c>
      <c r="G399" s="221">
        <v>0</v>
      </c>
      <c r="H399" s="226">
        <v>0</v>
      </c>
      <c r="I399" s="221">
        <v>0</v>
      </c>
      <c r="J399" s="221">
        <v>0</v>
      </c>
      <c r="K399" s="221">
        <v>0</v>
      </c>
      <c r="L399" s="221">
        <f>G399-H399-I399-J399-K399</f>
        <v>0</v>
      </c>
      <c r="M399" s="221">
        <f>H399-N399-O399</f>
        <v>0</v>
      </c>
      <c r="N399" s="221">
        <v>0</v>
      </c>
      <c r="O399" s="221">
        <v>0</v>
      </c>
      <c r="P399" s="218">
        <v>47</v>
      </c>
      <c r="Q399" s="218">
        <v>39</v>
      </c>
      <c r="R399" s="218" t="s">
        <v>343</v>
      </c>
      <c r="AD399" s="194">
        <f t="shared" si="84"/>
        <v>0</v>
      </c>
      <c r="AF399" s="195">
        <f>C399+D399+E399-F399-G399</f>
        <v>0</v>
      </c>
      <c r="AH399" s="184">
        <v>369</v>
      </c>
      <c r="AJ399" s="184">
        <v>0</v>
      </c>
    </row>
    <row r="400" spans="1:36" x14ac:dyDescent="0.25">
      <c r="B400" s="184" t="s">
        <v>335</v>
      </c>
      <c r="C400" s="212">
        <v>23000000</v>
      </c>
      <c r="D400" s="212"/>
      <c r="E400" s="222"/>
      <c r="F400" s="221">
        <f>112506.16+14549736.15+8337757.69</f>
        <v>23000000</v>
      </c>
      <c r="G400" s="221">
        <f>[1]TU!F596</f>
        <v>0</v>
      </c>
      <c r="H400" s="226">
        <f>[1]TU!H596</f>
        <v>0</v>
      </c>
      <c r="I400" s="221">
        <f>[1]TU!I596</f>
        <v>0</v>
      </c>
      <c r="J400" s="221">
        <f>[1]TU!J596</f>
        <v>0</v>
      </c>
      <c r="K400" s="221">
        <f>[1]TU!K596</f>
        <v>0</v>
      </c>
      <c r="L400" s="221">
        <f>G400-H400-I400-J400-K400</f>
        <v>0</v>
      </c>
      <c r="M400" s="221">
        <f>H400-N400-O400</f>
        <v>0</v>
      </c>
      <c r="N400" s="221">
        <v>0</v>
      </c>
      <c r="O400" s="221">
        <v>0</v>
      </c>
      <c r="P400" s="218">
        <v>48</v>
      </c>
      <c r="Q400" s="218">
        <v>39</v>
      </c>
      <c r="R400" s="218" t="s">
        <v>343</v>
      </c>
      <c r="AD400" s="194">
        <f t="shared" si="84"/>
        <v>0</v>
      </c>
      <c r="AF400" s="195">
        <f>C400+D400+E400-F400-G400</f>
        <v>0</v>
      </c>
      <c r="AH400" s="184">
        <v>370</v>
      </c>
      <c r="AJ400" s="184">
        <v>0</v>
      </c>
    </row>
    <row r="401" spans="1:36" x14ac:dyDescent="0.25">
      <c r="C401" s="212"/>
      <c r="D401" s="212"/>
      <c r="E401" s="222"/>
      <c r="F401" s="222"/>
      <c r="G401" s="221"/>
      <c r="H401" s="226"/>
      <c r="I401" s="221"/>
      <c r="J401" s="221"/>
      <c r="K401" s="221"/>
      <c r="L401" s="221"/>
      <c r="M401" s="221"/>
      <c r="N401" s="221"/>
      <c r="O401" s="221"/>
      <c r="AH401" s="184">
        <v>371</v>
      </c>
    </row>
    <row r="402" spans="1:36" ht="13.8" thickBot="1" x14ac:dyDescent="0.3">
      <c r="B402" s="260" t="s">
        <v>351</v>
      </c>
      <c r="C402" s="228">
        <f>SUM(C396:C401)</f>
        <v>93920000</v>
      </c>
      <c r="D402" s="228">
        <f t="shared" ref="D402:O402" si="85">SUM(D396:D401)</f>
        <v>0</v>
      </c>
      <c r="E402" s="228">
        <f t="shared" si="85"/>
        <v>0</v>
      </c>
      <c r="F402" s="228">
        <f t="shared" si="85"/>
        <v>92391755.479999989</v>
      </c>
      <c r="G402" s="228">
        <f t="shared" si="85"/>
        <v>1528244.52</v>
      </c>
      <c r="H402" s="228">
        <f t="shared" si="85"/>
        <v>0</v>
      </c>
      <c r="I402" s="228">
        <f t="shared" si="85"/>
        <v>0</v>
      </c>
      <c r="J402" s="228">
        <f t="shared" si="85"/>
        <v>0</v>
      </c>
      <c r="K402" s="228">
        <f t="shared" si="85"/>
        <v>0</v>
      </c>
      <c r="L402" s="228">
        <f t="shared" si="85"/>
        <v>1528244.52</v>
      </c>
      <c r="M402" s="228">
        <f t="shared" si="85"/>
        <v>0</v>
      </c>
      <c r="N402" s="228">
        <f t="shared" si="85"/>
        <v>0</v>
      </c>
      <c r="O402" s="228">
        <f t="shared" si="85"/>
        <v>0</v>
      </c>
      <c r="U402" s="260" t="s">
        <v>313</v>
      </c>
      <c r="V402" s="192">
        <v>308</v>
      </c>
      <c r="AA402" s="228">
        <f>SUM(AA396:AA401)</f>
        <v>0</v>
      </c>
      <c r="AB402" s="228">
        <f>SUM(AB396:AB401)</f>
        <v>0</v>
      </c>
      <c r="AC402" s="228">
        <f>SUM(AC396:AC401)</f>
        <v>0</v>
      </c>
      <c r="AD402" s="228">
        <f>SUM(AD396:AD401)</f>
        <v>0</v>
      </c>
      <c r="AF402" s="195">
        <f>C402+D402+E402-F402-G402</f>
        <v>1.0710209608078003E-8</v>
      </c>
      <c r="AH402" s="184">
        <v>372</v>
      </c>
      <c r="AJ402" s="184">
        <v>0</v>
      </c>
    </row>
    <row r="403" spans="1:36" ht="13.8" thickTop="1" x14ac:dyDescent="0.25">
      <c r="C403" s="212"/>
      <c r="D403" s="212"/>
      <c r="E403" s="222"/>
      <c r="F403" s="222"/>
      <c r="G403" s="221"/>
      <c r="H403" s="226"/>
      <c r="I403" s="221"/>
      <c r="J403" s="221"/>
      <c r="K403" s="221"/>
      <c r="L403" s="221"/>
      <c r="M403" s="221"/>
      <c r="N403" s="221"/>
      <c r="O403" s="221"/>
      <c r="AH403" s="184">
        <v>373</v>
      </c>
    </row>
    <row r="404" spans="1:36" x14ac:dyDescent="0.25">
      <c r="A404" s="224" t="s">
        <v>352</v>
      </c>
      <c r="C404" s="212"/>
      <c r="D404" s="212"/>
      <c r="E404" s="222"/>
      <c r="F404" s="262"/>
      <c r="G404" s="221"/>
      <c r="H404" s="226"/>
      <c r="I404" s="221"/>
      <c r="J404" s="221"/>
      <c r="K404" s="221"/>
      <c r="L404" s="221"/>
      <c r="M404" s="221"/>
      <c r="N404" s="221"/>
      <c r="O404" s="221"/>
      <c r="AD404" s="194">
        <f t="shared" ref="AD404:AD411" si="86">AA404+AB404+AC404</f>
        <v>0</v>
      </c>
      <c r="AH404" s="184">
        <v>374</v>
      </c>
    </row>
    <row r="405" spans="1:36" hidden="1" x14ac:dyDescent="0.25">
      <c r="B405" s="184" t="s">
        <v>349</v>
      </c>
      <c r="C405" s="212">
        <v>1000000</v>
      </c>
      <c r="D405" s="212"/>
      <c r="E405" s="222"/>
      <c r="F405" s="221">
        <f>3173.23+996826.77</f>
        <v>1000000</v>
      </c>
      <c r="G405" s="221">
        <v>0</v>
      </c>
      <c r="H405" s="226">
        <v>0</v>
      </c>
      <c r="I405" s="221"/>
      <c r="J405" s="221"/>
      <c r="K405" s="221"/>
      <c r="L405" s="221">
        <f t="shared" ref="L405:L411" si="87">G405-H405-I405-J405-K405</f>
        <v>0</v>
      </c>
      <c r="M405" s="221"/>
      <c r="N405" s="221"/>
      <c r="O405" s="221"/>
      <c r="P405" s="218">
        <v>44</v>
      </c>
      <c r="Q405" s="218">
        <v>39</v>
      </c>
      <c r="R405" s="218" t="s">
        <v>343</v>
      </c>
      <c r="AD405" s="194">
        <f t="shared" si="86"/>
        <v>0</v>
      </c>
      <c r="AH405" s="184">
        <v>375</v>
      </c>
      <c r="AJ405" s="184">
        <v>0</v>
      </c>
    </row>
    <row r="406" spans="1:36" hidden="1" x14ac:dyDescent="0.25">
      <c r="B406" s="184" t="s">
        <v>332</v>
      </c>
      <c r="C406" s="212">
        <v>23500000</v>
      </c>
      <c r="D406" s="212"/>
      <c r="E406" s="222"/>
      <c r="F406" s="221">
        <f>3173.23+5947078.15+14643227.32+2906521.3</f>
        <v>23500000.000000004</v>
      </c>
      <c r="G406" s="221">
        <f>[1]UMCP!F344</f>
        <v>0</v>
      </c>
      <c r="H406" s="226">
        <f>[1]UMCP!H344</f>
        <v>0</v>
      </c>
      <c r="I406" s="221"/>
      <c r="J406" s="221"/>
      <c r="K406" s="221">
        <f>[1]UMCP!K344</f>
        <v>0</v>
      </c>
      <c r="L406" s="221">
        <f t="shared" si="87"/>
        <v>0</v>
      </c>
      <c r="M406" s="221"/>
      <c r="N406" s="221"/>
      <c r="O406" s="221">
        <f>H404+K404</f>
        <v>0</v>
      </c>
      <c r="P406" s="218">
        <v>45</v>
      </c>
      <c r="Q406" s="218">
        <v>39</v>
      </c>
      <c r="R406" s="218" t="s">
        <v>343</v>
      </c>
      <c r="AD406" s="194">
        <f t="shared" si="86"/>
        <v>0</v>
      </c>
      <c r="AH406" s="184">
        <v>376</v>
      </c>
      <c r="AJ406" s="184">
        <v>0</v>
      </c>
    </row>
    <row r="407" spans="1:36" hidden="1" x14ac:dyDescent="0.25">
      <c r="B407" s="184" t="s">
        <v>353</v>
      </c>
      <c r="C407" s="225">
        <v>11000000</v>
      </c>
      <c r="D407" s="212"/>
      <c r="E407" s="222"/>
      <c r="F407" s="221">
        <f>25911.04+10046133.64+146122.43+781832.89</f>
        <v>11000000</v>
      </c>
      <c r="G407" s="221">
        <f>[1]UMBC!F102</f>
        <v>0</v>
      </c>
      <c r="H407" s="226">
        <f>[1]UMBC!H102</f>
        <v>0</v>
      </c>
      <c r="I407" s="221"/>
      <c r="J407" s="221"/>
      <c r="K407" s="221">
        <f>[1]UMBC!K102</f>
        <v>0</v>
      </c>
      <c r="L407" s="221">
        <f t="shared" si="87"/>
        <v>0</v>
      </c>
      <c r="M407" s="221"/>
      <c r="N407" s="221"/>
      <c r="O407" s="221">
        <f>H405+K405</f>
        <v>0</v>
      </c>
      <c r="P407" s="218">
        <v>46</v>
      </c>
      <c r="Q407" s="218">
        <v>39</v>
      </c>
      <c r="R407" s="218" t="s">
        <v>343</v>
      </c>
      <c r="AD407" s="194">
        <f t="shared" si="86"/>
        <v>0</v>
      </c>
      <c r="AH407" s="184">
        <v>377</v>
      </c>
      <c r="AJ407" s="184">
        <v>0</v>
      </c>
    </row>
    <row r="408" spans="1:36" x14ac:dyDescent="0.25">
      <c r="B408" s="184" t="s">
        <v>346</v>
      </c>
      <c r="C408" s="212">
        <v>4400000</v>
      </c>
      <c r="D408" s="212"/>
      <c r="E408" s="222"/>
      <c r="F408" s="221">
        <f>4314201.49+85798.51</f>
        <v>4400000</v>
      </c>
      <c r="G408" s="221">
        <f>[1]FSU!F190</f>
        <v>-2.1827872842550278E-10</v>
      </c>
      <c r="H408" s="226">
        <f>[1]FSU!H190</f>
        <v>0</v>
      </c>
      <c r="I408" s="221"/>
      <c r="J408" s="221"/>
      <c r="K408" s="221"/>
      <c r="L408" s="221">
        <f t="shared" si="87"/>
        <v>-2.1827872842550278E-10</v>
      </c>
      <c r="M408" s="221">
        <f>H408-N408-O408</f>
        <v>0</v>
      </c>
      <c r="N408" s="221">
        <v>0</v>
      </c>
      <c r="O408" s="221">
        <v>0</v>
      </c>
      <c r="P408" s="218">
        <v>47</v>
      </c>
      <c r="Q408" s="218">
        <v>39</v>
      </c>
      <c r="R408" s="218" t="s">
        <v>343</v>
      </c>
      <c r="AD408" s="194">
        <f t="shared" si="86"/>
        <v>0</v>
      </c>
      <c r="AF408" s="195">
        <f>C408+D408+E408-F408-G408</f>
        <v>2.1827872842550278E-10</v>
      </c>
      <c r="AH408" s="184">
        <v>378</v>
      </c>
      <c r="AJ408" s="184">
        <v>0</v>
      </c>
    </row>
    <row r="409" spans="1:36" x14ac:dyDescent="0.25">
      <c r="B409" s="184" t="s">
        <v>354</v>
      </c>
      <c r="C409" s="212">
        <v>2500000</v>
      </c>
      <c r="D409" s="212">
        <v>-2498684.27</v>
      </c>
      <c r="E409" s="222"/>
      <c r="F409" s="221">
        <f>629.58+686.15</f>
        <v>1315.73</v>
      </c>
      <c r="G409" s="221">
        <f>[1]SU!F81</f>
        <v>0</v>
      </c>
      <c r="H409" s="226">
        <f>[1]SU!H81</f>
        <v>0</v>
      </c>
      <c r="I409" s="221"/>
      <c r="J409" s="221"/>
      <c r="K409" s="221"/>
      <c r="L409" s="221">
        <f t="shared" si="87"/>
        <v>0</v>
      </c>
      <c r="M409" s="221">
        <f>H409-N409-O409</f>
        <v>0</v>
      </c>
      <c r="N409" s="221">
        <v>0</v>
      </c>
      <c r="O409" s="221">
        <v>0</v>
      </c>
      <c r="P409" s="218">
        <v>48</v>
      </c>
      <c r="Q409" s="218">
        <v>39</v>
      </c>
      <c r="R409" s="218" t="s">
        <v>343</v>
      </c>
      <c r="AD409" s="194">
        <f t="shared" si="86"/>
        <v>0</v>
      </c>
      <c r="AF409" s="195">
        <f>C409+D409+E409-F409-G409</f>
        <v>-1.8644641386345029E-11</v>
      </c>
      <c r="AH409" s="184">
        <v>379</v>
      </c>
      <c r="AJ409" s="184">
        <v>0</v>
      </c>
    </row>
    <row r="410" spans="1:36" x14ac:dyDescent="0.25">
      <c r="B410" s="184" t="s">
        <v>335</v>
      </c>
      <c r="C410" s="212">
        <v>39000000</v>
      </c>
      <c r="D410" s="212"/>
      <c r="E410" s="222"/>
      <c r="F410" s="221">
        <f>21476541.59+17271552.08+151612.85+7394.63+2849.23</f>
        <v>38909950.380000003</v>
      </c>
      <c r="G410" s="221">
        <f>[1]TU!F607</f>
        <v>90049.61999999074</v>
      </c>
      <c r="H410" s="226">
        <f>[1]TU!H607</f>
        <v>0</v>
      </c>
      <c r="I410" s="221"/>
      <c r="J410" s="221"/>
      <c r="K410" s="221">
        <f>[1]TU!K607</f>
        <v>0</v>
      </c>
      <c r="L410" s="221">
        <f t="shared" si="87"/>
        <v>90049.61999999074</v>
      </c>
      <c r="M410" s="221">
        <f>H410-N410-O410</f>
        <v>0</v>
      </c>
      <c r="N410" s="221">
        <v>0</v>
      </c>
      <c r="O410" s="221">
        <v>0</v>
      </c>
      <c r="P410" s="218">
        <v>49</v>
      </c>
      <c r="Q410" s="218">
        <v>39</v>
      </c>
      <c r="R410" s="218" t="s">
        <v>343</v>
      </c>
      <c r="AD410" s="194">
        <f t="shared" si="86"/>
        <v>0</v>
      </c>
      <c r="AF410" s="195">
        <f>C410+D410+E410-F410-G410</f>
        <v>6.577465683221817E-9</v>
      </c>
      <c r="AH410" s="184">
        <v>380</v>
      </c>
      <c r="AJ410" s="184">
        <v>0</v>
      </c>
    </row>
    <row r="411" spans="1:36" hidden="1" x14ac:dyDescent="0.25">
      <c r="B411" s="184" t="s">
        <v>355</v>
      </c>
      <c r="C411" s="212">
        <v>10000000</v>
      </c>
      <c r="D411" s="212"/>
      <c r="E411" s="222"/>
      <c r="F411" s="221">
        <f>4328782.66+5671217.34</f>
        <v>10000000</v>
      </c>
      <c r="G411" s="221">
        <f>[1]TU!F489</f>
        <v>0</v>
      </c>
      <c r="H411" s="226">
        <f>[1]TU!H489</f>
        <v>0</v>
      </c>
      <c r="I411" s="221"/>
      <c r="J411" s="221"/>
      <c r="K411" s="221">
        <f>[1]TU!K489</f>
        <v>0</v>
      </c>
      <c r="L411" s="221">
        <f t="shared" si="87"/>
        <v>0</v>
      </c>
      <c r="M411" s="221"/>
      <c r="N411" s="221"/>
      <c r="O411" s="221"/>
      <c r="P411" s="218">
        <v>50</v>
      </c>
      <c r="Q411" s="218">
        <v>39</v>
      </c>
      <c r="R411" s="218" t="s">
        <v>343</v>
      </c>
      <c r="AD411" s="194">
        <f t="shared" si="86"/>
        <v>0</v>
      </c>
      <c r="AH411" s="184">
        <v>381</v>
      </c>
      <c r="AJ411" s="184">
        <v>0</v>
      </c>
    </row>
    <row r="412" spans="1:36" x14ac:dyDescent="0.25">
      <c r="C412" s="212"/>
      <c r="D412" s="212"/>
      <c r="E412" s="222"/>
      <c r="F412" s="222"/>
      <c r="G412" s="221"/>
      <c r="H412" s="226"/>
      <c r="I412" s="221"/>
      <c r="J412" s="221"/>
      <c r="K412" s="221"/>
      <c r="L412" s="221"/>
      <c r="M412" s="221"/>
      <c r="N412" s="221"/>
      <c r="O412" s="221"/>
      <c r="AH412" s="184">
        <v>382</v>
      </c>
    </row>
    <row r="413" spans="1:36" ht="13.8" thickBot="1" x14ac:dyDescent="0.3">
      <c r="B413" s="260" t="s">
        <v>356</v>
      </c>
      <c r="C413" s="228">
        <f>SUM(C405:C412)</f>
        <v>91400000</v>
      </c>
      <c r="D413" s="228">
        <f t="shared" ref="D413:O413" si="88">SUM(D405:D412)</f>
        <v>-2498684.27</v>
      </c>
      <c r="E413" s="228">
        <f t="shared" si="88"/>
        <v>0</v>
      </c>
      <c r="F413" s="228">
        <f t="shared" si="88"/>
        <v>88811266.109999999</v>
      </c>
      <c r="G413" s="228">
        <f t="shared" si="88"/>
        <v>90049.619999990522</v>
      </c>
      <c r="H413" s="228">
        <f t="shared" si="88"/>
        <v>0</v>
      </c>
      <c r="I413" s="228">
        <f t="shared" si="88"/>
        <v>0</v>
      </c>
      <c r="J413" s="228">
        <f t="shared" si="88"/>
        <v>0</v>
      </c>
      <c r="K413" s="228">
        <f t="shared" si="88"/>
        <v>0</v>
      </c>
      <c r="L413" s="228">
        <f t="shared" si="88"/>
        <v>90049.619999990522</v>
      </c>
      <c r="M413" s="228">
        <f t="shared" si="88"/>
        <v>0</v>
      </c>
      <c r="N413" s="228">
        <f t="shared" si="88"/>
        <v>0</v>
      </c>
      <c r="O413" s="228">
        <f t="shared" si="88"/>
        <v>0</v>
      </c>
      <c r="U413" s="260" t="s">
        <v>313</v>
      </c>
      <c r="V413" s="192">
        <v>308</v>
      </c>
      <c r="AA413" s="228">
        <f>SUM(AA405:AA412)</f>
        <v>0</v>
      </c>
      <c r="AB413" s="228">
        <f>SUM(AB405:AB412)</f>
        <v>0</v>
      </c>
      <c r="AC413" s="228">
        <f>SUM(AC405:AC412)</f>
        <v>0</v>
      </c>
      <c r="AD413" s="228">
        <f>SUM(AD405:AD412)</f>
        <v>0</v>
      </c>
      <c r="AF413" s="195">
        <f>C413+D413+E413-F413-G413</f>
        <v>1.4246325008571148E-8</v>
      </c>
      <c r="AH413" s="184">
        <v>383</v>
      </c>
      <c r="AJ413" s="184">
        <v>0</v>
      </c>
    </row>
    <row r="414" spans="1:36" ht="13.8" thickTop="1" x14ac:dyDescent="0.25">
      <c r="C414" s="212"/>
      <c r="D414" s="212"/>
      <c r="E414" s="222"/>
      <c r="F414" s="263"/>
      <c r="G414" s="221"/>
      <c r="H414" s="226"/>
      <c r="I414" s="221"/>
      <c r="J414" s="221"/>
      <c r="K414" s="221"/>
      <c r="L414" s="221"/>
      <c r="M414" s="221"/>
      <c r="N414" s="221"/>
      <c r="O414" s="221"/>
      <c r="AH414" s="184">
        <v>384</v>
      </c>
    </row>
    <row r="415" spans="1:36" x14ac:dyDescent="0.25">
      <c r="A415" s="224" t="s">
        <v>357</v>
      </c>
      <c r="C415" s="212"/>
      <c r="D415" s="212"/>
      <c r="E415" s="222"/>
      <c r="G415" s="221"/>
      <c r="H415" s="226"/>
      <c r="I415" s="221"/>
      <c r="J415" s="221"/>
      <c r="K415" s="221"/>
      <c r="L415" s="221"/>
      <c r="M415" s="221"/>
      <c r="N415" s="221"/>
      <c r="O415" s="221"/>
      <c r="AH415" s="184">
        <v>385</v>
      </c>
    </row>
    <row r="416" spans="1:36" x14ac:dyDescent="0.25">
      <c r="B416" s="184" t="s">
        <v>358</v>
      </c>
      <c r="C416" s="212">
        <v>10300000</v>
      </c>
      <c r="D416" s="212">
        <v>-608858.49</v>
      </c>
      <c r="E416" s="222"/>
      <c r="F416" s="222">
        <f>128951.48+1603673.83+7826920.79+98949.18+32646.23</f>
        <v>9691141.5099999998</v>
      </c>
      <c r="G416" s="221">
        <f>[1]UMCP!F231</f>
        <v>-3.2596290111541748E-9</v>
      </c>
      <c r="H416" s="226">
        <f>[1]UMCP!H231</f>
        <v>0</v>
      </c>
      <c r="I416" s="221">
        <f>[1]UMCP!I231</f>
        <v>0</v>
      </c>
      <c r="J416" s="221">
        <f>[1]UMCP!J231</f>
        <v>0</v>
      </c>
      <c r="K416" s="221">
        <f>[1]UMCP!K231</f>
        <v>0</v>
      </c>
      <c r="L416" s="221">
        <f>G416-H416-I416-J416-K416</f>
        <v>-3.2596290111541748E-9</v>
      </c>
      <c r="M416" s="221">
        <f>H416-N416-O416</f>
        <v>0</v>
      </c>
      <c r="N416" s="221">
        <v>0</v>
      </c>
      <c r="O416" s="221">
        <v>0</v>
      </c>
      <c r="P416" s="218">
        <v>52</v>
      </c>
      <c r="Q416" s="218">
        <v>38</v>
      </c>
      <c r="R416" s="218" t="s">
        <v>343</v>
      </c>
      <c r="AA416" s="194">
        <v>326340.23</v>
      </c>
      <c r="AD416" s="194">
        <f>AA416+AB416+AC416</f>
        <v>326340.23</v>
      </c>
      <c r="AF416" s="195">
        <f>C416+D416+E416-F416-G416</f>
        <v>3.2596290111541748E-9</v>
      </c>
      <c r="AH416" s="184">
        <v>386</v>
      </c>
      <c r="AJ416" s="184">
        <v>0</v>
      </c>
    </row>
    <row r="417" spans="1:36" hidden="1" x14ac:dyDescent="0.25">
      <c r="B417" s="184" t="s">
        <v>353</v>
      </c>
      <c r="C417" s="225">
        <v>31600000</v>
      </c>
      <c r="D417" s="212"/>
      <c r="E417" s="222"/>
      <c r="F417" s="221">
        <f>30939995.52+660004.48</f>
        <v>31600000</v>
      </c>
      <c r="G417" s="221">
        <v>0</v>
      </c>
      <c r="H417" s="226">
        <v>0</v>
      </c>
      <c r="I417" s="221">
        <v>0</v>
      </c>
      <c r="J417" s="221">
        <v>0</v>
      </c>
      <c r="K417" s="221">
        <v>0</v>
      </c>
      <c r="L417" s="221">
        <f>G417-H417-I417-J417-K417</f>
        <v>0</v>
      </c>
      <c r="M417" s="221">
        <f>H417-N417-O417</f>
        <v>0</v>
      </c>
      <c r="N417" s="221">
        <v>0</v>
      </c>
      <c r="O417" s="221">
        <v>0</v>
      </c>
      <c r="P417" s="218">
        <v>45.1</v>
      </c>
      <c r="Q417" s="218">
        <v>38</v>
      </c>
      <c r="R417" s="218" t="s">
        <v>343</v>
      </c>
      <c r="AA417" s="194">
        <v>7774074.3899999997</v>
      </c>
      <c r="AD417" s="194">
        <f>AA417+AB417+AC417</f>
        <v>7774074.3899999997</v>
      </c>
      <c r="AF417" s="195">
        <f>C417+D417+E417-F417-G417</f>
        <v>0</v>
      </c>
      <c r="AH417" s="184">
        <v>387</v>
      </c>
      <c r="AJ417" s="184">
        <v>0</v>
      </c>
    </row>
    <row r="418" spans="1:36" x14ac:dyDescent="0.25">
      <c r="B418" s="184" t="s">
        <v>335</v>
      </c>
      <c r="C418" s="212">
        <v>8670000</v>
      </c>
      <c r="D418" s="212"/>
      <c r="E418" s="222"/>
      <c r="F418" s="221">
        <f>4886174.55+2710737.4+583070.54+490017.51</f>
        <v>8670000</v>
      </c>
      <c r="G418" s="221">
        <f>[1]TU!F620</f>
        <v>0</v>
      </c>
      <c r="H418" s="226">
        <f>[1]TU!H620</f>
        <v>0</v>
      </c>
      <c r="I418" s="221">
        <f>[1]TU!I620</f>
        <v>0</v>
      </c>
      <c r="J418" s="221">
        <f>[1]TU!J620</f>
        <v>0</v>
      </c>
      <c r="K418" s="221">
        <f>[1]TU!K620</f>
        <v>0</v>
      </c>
      <c r="L418" s="221">
        <f>G418-H418-I418-J418-K418</f>
        <v>0</v>
      </c>
      <c r="M418" s="221">
        <f>H418-N418-O418</f>
        <v>0</v>
      </c>
      <c r="N418" s="221">
        <v>0</v>
      </c>
      <c r="O418" s="221">
        <v>0</v>
      </c>
      <c r="P418" s="218">
        <v>53</v>
      </c>
      <c r="Q418" s="218">
        <v>38</v>
      </c>
      <c r="R418" s="218" t="s">
        <v>343</v>
      </c>
      <c r="AA418" s="194">
        <v>1268950.3899999999</v>
      </c>
      <c r="AD418" s="194">
        <f>AA418+AB418+AC418</f>
        <v>1268950.3899999999</v>
      </c>
      <c r="AF418" s="195">
        <f>C418+D418+E418-F418-G418</f>
        <v>0</v>
      </c>
      <c r="AH418" s="184">
        <v>388</v>
      </c>
      <c r="AJ418" s="184">
        <v>0</v>
      </c>
    </row>
    <row r="419" spans="1:36" x14ac:dyDescent="0.25">
      <c r="B419" s="184" t="s">
        <v>355</v>
      </c>
      <c r="C419" s="212">
        <v>19600000</v>
      </c>
      <c r="D419" s="212">
        <v>-1918.62</v>
      </c>
      <c r="E419" s="222"/>
      <c r="F419" s="223">
        <f>511240.72+19085910.06+930.6</f>
        <v>19598081.379999999</v>
      </c>
      <c r="G419" s="221">
        <f>[1]TU!F500</f>
        <v>2.5333974917884916E-9</v>
      </c>
      <c r="H419" s="226">
        <f>[1]TU!H500</f>
        <v>0</v>
      </c>
      <c r="I419" s="221">
        <f>[1]TU!I500</f>
        <v>0</v>
      </c>
      <c r="J419" s="221">
        <f>[1]TU!J500</f>
        <v>0</v>
      </c>
      <c r="K419" s="221">
        <f>[1]TU!K500</f>
        <v>0</v>
      </c>
      <c r="L419" s="221">
        <f>G419-H419-I419-J419-K419</f>
        <v>2.5333974917884916E-9</v>
      </c>
      <c r="M419" s="221">
        <f>H419-N419-O419</f>
        <v>0</v>
      </c>
      <c r="N419" s="221">
        <v>0</v>
      </c>
      <c r="O419" s="221">
        <v>0</v>
      </c>
      <c r="P419" s="218">
        <v>47.1</v>
      </c>
      <c r="Q419" s="218">
        <v>38</v>
      </c>
      <c r="R419" s="218" t="s">
        <v>343</v>
      </c>
      <c r="AA419" s="194">
        <v>5000179.3899999997</v>
      </c>
      <c r="AD419" s="194">
        <f>AA419+AB419+AC419</f>
        <v>5000179.3899999997</v>
      </c>
      <c r="AF419" s="195">
        <f>C419+D419+E419-F419-G419</f>
        <v>-2.5333974917884916E-9</v>
      </c>
      <c r="AH419" s="184">
        <v>389</v>
      </c>
      <c r="AJ419" s="184">
        <v>0</v>
      </c>
    </row>
    <row r="420" spans="1:36" x14ac:dyDescent="0.25">
      <c r="C420" s="212"/>
      <c r="D420" s="212"/>
      <c r="E420" s="222"/>
      <c r="F420" s="222"/>
      <c r="G420" s="221"/>
      <c r="H420" s="226"/>
      <c r="I420" s="221"/>
      <c r="J420" s="221"/>
      <c r="K420" s="221"/>
      <c r="L420" s="221"/>
      <c r="M420" s="221"/>
      <c r="N420" s="221"/>
      <c r="O420" s="221"/>
      <c r="AH420" s="184">
        <v>390</v>
      </c>
    </row>
    <row r="421" spans="1:36" ht="13.8" thickBot="1" x14ac:dyDescent="0.3">
      <c r="B421" s="260" t="s">
        <v>359</v>
      </c>
      <c r="C421" s="252">
        <f t="shared" ref="C421:J421" si="89">SUM(C416:C420)</f>
        <v>70170000</v>
      </c>
      <c r="D421" s="252">
        <f t="shared" si="89"/>
        <v>-610777.11</v>
      </c>
      <c r="E421" s="252">
        <f t="shared" si="89"/>
        <v>0</v>
      </c>
      <c r="F421" s="252">
        <f t="shared" si="89"/>
        <v>69559222.890000001</v>
      </c>
      <c r="G421" s="252">
        <f t="shared" si="89"/>
        <v>-7.262315193656832E-10</v>
      </c>
      <c r="H421" s="252">
        <f>SUM(H416:H420)</f>
        <v>0</v>
      </c>
      <c r="I421" s="252">
        <f t="shared" si="89"/>
        <v>0</v>
      </c>
      <c r="J421" s="252">
        <f t="shared" si="89"/>
        <v>0</v>
      </c>
      <c r="K421" s="252">
        <f>SUM(K416:K420)</f>
        <v>0</v>
      </c>
      <c r="L421" s="252">
        <f>SUM(L416:L420)</f>
        <v>-7.262315193656832E-10</v>
      </c>
      <c r="M421" s="252">
        <f>SUM(M416:M420)</f>
        <v>0</v>
      </c>
      <c r="N421" s="252">
        <f>SUM(N416:N420)</f>
        <v>0</v>
      </c>
      <c r="O421" s="252">
        <f>SUM(O416:O420)</f>
        <v>0</v>
      </c>
      <c r="U421" s="260" t="s">
        <v>313</v>
      </c>
      <c r="V421" s="192">
        <v>308</v>
      </c>
      <c r="AA421" s="252">
        <f>SUM(AA416:AA420)</f>
        <v>14369544.399999999</v>
      </c>
      <c r="AB421" s="252">
        <f>SUM(AB416:AB420)</f>
        <v>0</v>
      </c>
      <c r="AC421" s="252">
        <f>SUM(AC416:AC420)</f>
        <v>0</v>
      </c>
      <c r="AD421" s="252">
        <f>SUM(AD416:AD420)</f>
        <v>14369544.399999999</v>
      </c>
      <c r="AF421" s="195">
        <f>C421+D421+E421-F421-G421</f>
        <v>7.262315193656832E-10</v>
      </c>
      <c r="AH421" s="184">
        <v>391</v>
      </c>
      <c r="AJ421" s="184">
        <v>0</v>
      </c>
    </row>
    <row r="422" spans="1:36" ht="13.8" thickTop="1" x14ac:dyDescent="0.25">
      <c r="C422" s="212"/>
      <c r="D422" s="212"/>
      <c r="E422" s="222"/>
      <c r="F422" s="263"/>
      <c r="G422" s="221"/>
      <c r="H422" s="226"/>
      <c r="I422" s="221"/>
      <c r="J422" s="221"/>
      <c r="K422" s="221"/>
      <c r="L422" s="221"/>
      <c r="M422" s="221"/>
      <c r="N422" s="221"/>
      <c r="O422" s="221"/>
      <c r="AH422" s="184">
        <v>392</v>
      </c>
    </row>
    <row r="423" spans="1:36" x14ac:dyDescent="0.25">
      <c r="A423" s="224" t="s">
        <v>360</v>
      </c>
      <c r="C423" s="212"/>
      <c r="D423" s="212"/>
      <c r="E423" s="222"/>
      <c r="F423" s="222"/>
      <c r="G423" s="221"/>
      <c r="H423" s="226"/>
      <c r="I423" s="221"/>
      <c r="J423" s="221"/>
      <c r="K423" s="221"/>
      <c r="L423" s="221"/>
      <c r="M423" s="221"/>
      <c r="N423" s="221"/>
      <c r="O423" s="221"/>
      <c r="AH423" s="184">
        <v>393</v>
      </c>
    </row>
    <row r="424" spans="1:36" hidden="1" x14ac:dyDescent="0.25">
      <c r="B424" s="184" t="s">
        <v>361</v>
      </c>
      <c r="C424" s="212">
        <v>800000</v>
      </c>
      <c r="D424" s="212"/>
      <c r="E424" s="222"/>
      <c r="F424" s="222"/>
      <c r="G424" s="221">
        <f>[1]UMES!F176</f>
        <v>800000</v>
      </c>
      <c r="H424" s="226">
        <f>[1]UMES!H176</f>
        <v>0</v>
      </c>
      <c r="I424" s="221">
        <f>[1]UMES!I176</f>
        <v>0</v>
      </c>
      <c r="J424" s="221">
        <f>[1]UMES!J176</f>
        <v>0</v>
      </c>
      <c r="K424" s="221">
        <f>[1]UMES!K176</f>
        <v>0</v>
      </c>
      <c r="L424" s="221">
        <f t="shared" ref="L424:L429" si="90">G424-H424-I424-J424-K424</f>
        <v>800000</v>
      </c>
      <c r="M424" s="221"/>
      <c r="N424" s="221"/>
      <c r="O424" s="221">
        <f>H422+K422</f>
        <v>0</v>
      </c>
      <c r="P424" s="218">
        <v>44</v>
      </c>
      <c r="Q424" s="218">
        <v>37</v>
      </c>
      <c r="R424" s="218" t="s">
        <v>343</v>
      </c>
      <c r="AD424" s="194">
        <f t="shared" ref="AD424:AD429" si="91">AA424+AB424+AC424</f>
        <v>0</v>
      </c>
      <c r="AH424" s="184">
        <v>394</v>
      </c>
      <c r="AJ424" s="184">
        <v>0</v>
      </c>
    </row>
    <row r="425" spans="1:36" hidden="1" x14ac:dyDescent="0.25">
      <c r="B425" s="184" t="s">
        <v>353</v>
      </c>
      <c r="C425" s="225">
        <v>18200000</v>
      </c>
      <c r="D425" s="212"/>
      <c r="E425" s="222"/>
      <c r="F425" s="222">
        <f>4717881.41+13482118.59</f>
        <v>18200000</v>
      </c>
      <c r="G425" s="221">
        <v>0</v>
      </c>
      <c r="H425" s="226">
        <v>0</v>
      </c>
      <c r="I425" s="221">
        <v>0</v>
      </c>
      <c r="J425" s="221">
        <v>0</v>
      </c>
      <c r="K425" s="221">
        <v>0</v>
      </c>
      <c r="L425" s="221">
        <f t="shared" si="90"/>
        <v>0</v>
      </c>
      <c r="M425" s="221"/>
      <c r="N425" s="221"/>
      <c r="O425" s="221">
        <f>H423+K423</f>
        <v>0</v>
      </c>
      <c r="P425" s="218">
        <v>45</v>
      </c>
      <c r="Q425" s="218">
        <v>37</v>
      </c>
      <c r="R425" s="218" t="s">
        <v>343</v>
      </c>
      <c r="AA425" s="194">
        <v>13482118.59</v>
      </c>
      <c r="AD425" s="194">
        <f t="shared" si="91"/>
        <v>13482118.59</v>
      </c>
      <c r="AH425" s="184">
        <v>395</v>
      </c>
      <c r="AJ425" s="184">
        <v>0</v>
      </c>
    </row>
    <row r="426" spans="1:36" x14ac:dyDescent="0.25">
      <c r="B426" s="184" t="s">
        <v>362</v>
      </c>
      <c r="C426" s="212">
        <v>3900000</v>
      </c>
      <c r="D426" s="212">
        <v>-449464.43</v>
      </c>
      <c r="E426" s="222"/>
      <c r="F426" s="222">
        <f>3013034.52+437501.05</f>
        <v>3450535.57</v>
      </c>
      <c r="G426" s="221">
        <f>[1]UMBC!F129</f>
        <v>0</v>
      </c>
      <c r="H426" s="226">
        <f>[1]UMBC!H129</f>
        <v>0</v>
      </c>
      <c r="I426" s="221">
        <f>[1]UMBC!I129</f>
        <v>0</v>
      </c>
      <c r="J426" s="221">
        <f>[1]UMBC!J129</f>
        <v>0</v>
      </c>
      <c r="K426" s="221">
        <f>[1]UMBC!K129</f>
        <v>0</v>
      </c>
      <c r="L426" s="221">
        <f t="shared" si="90"/>
        <v>0</v>
      </c>
      <c r="M426" s="221">
        <f>H426-N426-O426</f>
        <v>0</v>
      </c>
      <c r="N426" s="221">
        <v>0</v>
      </c>
      <c r="O426" s="221">
        <v>0</v>
      </c>
      <c r="P426" s="218">
        <v>144.6</v>
      </c>
      <c r="Q426" s="218">
        <v>37</v>
      </c>
      <c r="R426" s="218" t="s">
        <v>343</v>
      </c>
      <c r="AA426" s="194">
        <v>437501.05</v>
      </c>
      <c r="AD426" s="194">
        <f t="shared" si="91"/>
        <v>437501.05</v>
      </c>
      <c r="AF426" s="195">
        <f>C426+D426+E426-F426-G426</f>
        <v>0</v>
      </c>
      <c r="AH426" s="184">
        <v>396</v>
      </c>
      <c r="AJ426" s="184">
        <v>0</v>
      </c>
    </row>
    <row r="427" spans="1:36" hidden="1" x14ac:dyDescent="0.25">
      <c r="B427" s="184" t="s">
        <v>355</v>
      </c>
      <c r="C427" s="212">
        <v>2960000</v>
      </c>
      <c r="D427" s="212"/>
      <c r="E427" s="222"/>
      <c r="F427" s="222">
        <f>21596+2036341.73+831056.51+60854.93+10150.83</f>
        <v>2960000.0000000005</v>
      </c>
      <c r="G427" s="221">
        <f>[1]TU!F514</f>
        <v>2.4192559067159891E-10</v>
      </c>
      <c r="H427" s="226">
        <f>[1]TU!H514</f>
        <v>0</v>
      </c>
      <c r="I427" s="221">
        <f>[1]TU!I514</f>
        <v>0</v>
      </c>
      <c r="J427" s="221">
        <f>[1]TU!J514</f>
        <v>0</v>
      </c>
      <c r="K427" s="221">
        <f>[1]TU!K514</f>
        <v>0</v>
      </c>
      <c r="L427" s="221">
        <f t="shared" si="90"/>
        <v>2.4192559067159891E-10</v>
      </c>
      <c r="M427" s="221">
        <f>H427-N427-O427</f>
        <v>0</v>
      </c>
      <c r="N427" s="221">
        <v>0</v>
      </c>
      <c r="O427" s="221">
        <v>0</v>
      </c>
      <c r="P427" s="218">
        <v>47</v>
      </c>
      <c r="Q427" s="218">
        <v>37</v>
      </c>
      <c r="R427" s="218" t="s">
        <v>343</v>
      </c>
      <c r="AA427" s="194">
        <v>620127.78</v>
      </c>
      <c r="AD427" s="194">
        <f t="shared" si="91"/>
        <v>620127.78</v>
      </c>
      <c r="AF427" s="195">
        <f>C427+D427+E427-F427-G427</f>
        <v>-7.0758687797933817E-10</v>
      </c>
      <c r="AH427" s="184">
        <v>397</v>
      </c>
      <c r="AJ427" s="184">
        <v>0</v>
      </c>
    </row>
    <row r="428" spans="1:36" x14ac:dyDescent="0.25">
      <c r="B428" s="184" t="s">
        <v>363</v>
      </c>
      <c r="C428" s="212">
        <v>16900000</v>
      </c>
      <c r="D428" s="212">
        <v>-6106.18</v>
      </c>
      <c r="E428" s="222"/>
      <c r="F428" s="222">
        <f>1348866.08+12676842.69+2868185.05</f>
        <v>16893893.82</v>
      </c>
      <c r="G428" s="221">
        <f>[1]TU!F413</f>
        <v>6.3300831243395805E-10</v>
      </c>
      <c r="H428" s="226">
        <f>[1]TU!H413</f>
        <v>0</v>
      </c>
      <c r="I428" s="221">
        <f>[1]TU!I413</f>
        <v>0</v>
      </c>
      <c r="J428" s="221">
        <f>[1]TU!J413</f>
        <v>0</v>
      </c>
      <c r="K428" s="221">
        <f>[1]TU!K413</f>
        <v>0</v>
      </c>
      <c r="L428" s="221">
        <f t="shared" si="90"/>
        <v>6.3300831243395805E-10</v>
      </c>
      <c r="M428" s="221">
        <f>H428-N428-O428</f>
        <v>0</v>
      </c>
      <c r="N428" s="221">
        <v>0</v>
      </c>
      <c r="O428" s="221">
        <v>0</v>
      </c>
      <c r="P428" s="218">
        <v>48</v>
      </c>
      <c r="Q428" s="218">
        <v>37</v>
      </c>
      <c r="R428" s="218" t="s">
        <v>343</v>
      </c>
      <c r="AA428" s="194">
        <v>5717502.5300000003</v>
      </c>
      <c r="AD428" s="194">
        <f t="shared" si="91"/>
        <v>5717502.5300000003</v>
      </c>
      <c r="AF428" s="195">
        <f>C428+D428+E428-F428-G428</f>
        <v>-6.3300831243395805E-10</v>
      </c>
      <c r="AH428" s="184">
        <v>398</v>
      </c>
      <c r="AJ428" s="184">
        <v>0</v>
      </c>
    </row>
    <row r="429" spans="1:36" hidden="1" x14ac:dyDescent="0.25">
      <c r="B429" s="184" t="s">
        <v>364</v>
      </c>
      <c r="C429" s="212">
        <v>4000000</v>
      </c>
      <c r="D429" s="212"/>
      <c r="E429" s="222"/>
      <c r="F429" s="222">
        <f>3795858.27+201586.7+2555.03</f>
        <v>4000000</v>
      </c>
      <c r="G429" s="221">
        <v>0</v>
      </c>
      <c r="H429" s="226">
        <v>0</v>
      </c>
      <c r="I429" s="221">
        <v>0</v>
      </c>
      <c r="J429" s="221">
        <v>0</v>
      </c>
      <c r="K429" s="221">
        <v>0</v>
      </c>
      <c r="L429" s="221">
        <f t="shared" si="90"/>
        <v>0</v>
      </c>
      <c r="M429" s="221"/>
      <c r="N429" s="221"/>
      <c r="O429" s="221">
        <f>H427+K427</f>
        <v>0</v>
      </c>
      <c r="P429" s="218">
        <v>49</v>
      </c>
      <c r="Q429" s="218">
        <v>37</v>
      </c>
      <c r="R429" s="218" t="s">
        <v>343</v>
      </c>
      <c r="AA429" s="194">
        <v>198605.23</v>
      </c>
      <c r="AD429" s="194">
        <f t="shared" si="91"/>
        <v>198605.23</v>
      </c>
      <c r="AH429" s="184">
        <v>399</v>
      </c>
      <c r="AJ429" s="184">
        <v>0</v>
      </c>
    </row>
    <row r="430" spans="1:36" x14ac:dyDescent="0.25">
      <c r="C430" s="212"/>
      <c r="D430" s="212"/>
      <c r="E430" s="222"/>
      <c r="F430" s="222"/>
      <c r="G430" s="221"/>
      <c r="H430" s="226"/>
      <c r="I430" s="221"/>
      <c r="J430" s="221"/>
      <c r="K430" s="221"/>
      <c r="L430" s="221"/>
      <c r="M430" s="221"/>
      <c r="N430" s="221"/>
      <c r="O430" s="221"/>
      <c r="AH430" s="184">
        <v>400</v>
      </c>
    </row>
    <row r="431" spans="1:36" ht="13.8" thickBot="1" x14ac:dyDescent="0.3">
      <c r="B431" s="260" t="s">
        <v>365</v>
      </c>
      <c r="C431" s="228">
        <f t="shared" ref="C431:O431" si="92">SUM(C424:C430)</f>
        <v>46760000</v>
      </c>
      <c r="D431" s="228">
        <f t="shared" si="92"/>
        <v>-455570.61</v>
      </c>
      <c r="E431" s="228">
        <f t="shared" si="92"/>
        <v>0</v>
      </c>
      <c r="F431" s="251">
        <f t="shared" si="92"/>
        <v>45504429.390000001</v>
      </c>
      <c r="G431" s="228">
        <f t="shared" si="92"/>
        <v>800000.00000000081</v>
      </c>
      <c r="H431" s="252">
        <f>SUM(H424:H430)</f>
        <v>0</v>
      </c>
      <c r="I431" s="228">
        <f t="shared" si="92"/>
        <v>0</v>
      </c>
      <c r="J431" s="228">
        <f t="shared" si="92"/>
        <v>0</v>
      </c>
      <c r="K431" s="228">
        <f t="shared" si="92"/>
        <v>0</v>
      </c>
      <c r="L431" s="228">
        <f>SUM(L424:L430)</f>
        <v>800000.00000000081</v>
      </c>
      <c r="M431" s="228">
        <f>SUM(M424:M430)</f>
        <v>0</v>
      </c>
      <c r="N431" s="228">
        <f t="shared" si="92"/>
        <v>0</v>
      </c>
      <c r="O431" s="228">
        <f t="shared" si="92"/>
        <v>0</v>
      </c>
      <c r="U431" s="260" t="s">
        <v>313</v>
      </c>
      <c r="V431" s="192">
        <v>308</v>
      </c>
      <c r="AA431" s="228">
        <f>SUM(AA424:AA430)</f>
        <v>20455855.18</v>
      </c>
      <c r="AB431" s="228">
        <f>SUM(AB424:AB430)</f>
        <v>0</v>
      </c>
      <c r="AC431" s="228">
        <f>SUM(AC424:AC430)</f>
        <v>0</v>
      </c>
      <c r="AD431" s="228">
        <f>SUM(AD424:AD430)</f>
        <v>20455855.18</v>
      </c>
      <c r="AF431" s="195">
        <f>C431+D431+E431-F431-G431</f>
        <v>0</v>
      </c>
      <c r="AG431" s="195"/>
      <c r="AH431" s="184">
        <v>401</v>
      </c>
      <c r="AJ431" s="184">
        <v>0</v>
      </c>
    </row>
    <row r="432" spans="1:36" ht="13.8" thickTop="1" x14ac:dyDescent="0.25">
      <c r="B432" s="264"/>
      <c r="C432" s="265"/>
      <c r="D432" s="265"/>
      <c r="E432" s="265"/>
      <c r="F432" s="266"/>
      <c r="G432" s="265"/>
      <c r="H432" s="267"/>
      <c r="I432" s="265"/>
      <c r="J432" s="265"/>
      <c r="K432" s="265"/>
      <c r="L432" s="265"/>
      <c r="M432" s="265"/>
      <c r="N432" s="265"/>
      <c r="O432" s="265"/>
      <c r="U432" s="264"/>
      <c r="V432" s="192">
        <v>469</v>
      </c>
      <c r="AA432" s="265"/>
      <c r="AB432" s="265"/>
      <c r="AC432" s="265"/>
      <c r="AD432" s="265"/>
      <c r="AH432" s="184">
        <v>402</v>
      </c>
    </row>
    <row r="433" spans="2:36" x14ac:dyDescent="0.25">
      <c r="B433" s="258" t="s">
        <v>366</v>
      </c>
      <c r="C433" s="268">
        <f t="shared" ref="C433:H433" si="93">C353+C360+C366+C375+C381+C393+C402+C413+C421+C431+C347+C340</f>
        <v>679015430</v>
      </c>
      <c r="D433" s="268">
        <f t="shared" si="93"/>
        <v>-3565031.9899999998</v>
      </c>
      <c r="E433" s="268">
        <f t="shared" si="93"/>
        <v>0</v>
      </c>
      <c r="F433" s="268">
        <f t="shared" si="93"/>
        <v>461915625.58999997</v>
      </c>
      <c r="G433" s="268">
        <f t="shared" si="93"/>
        <v>213534772.42000002</v>
      </c>
      <c r="H433" s="336">
        <f t="shared" si="93"/>
        <v>52337352.56000001</v>
      </c>
      <c r="I433" s="268">
        <f>I353+I360+I366+I375+I381+I393+I402+I413+I421+I431+I347</f>
        <v>0</v>
      </c>
      <c r="J433" s="268">
        <f t="shared" ref="J433:O433" si="94">J353+J360+J366+J375+J381+J393+J402+J413+J421+J431+J347+J340</f>
        <v>0</v>
      </c>
      <c r="K433" s="268">
        <f t="shared" si="94"/>
        <v>0</v>
      </c>
      <c r="L433" s="268">
        <f t="shared" si="94"/>
        <v>161197419.85999995</v>
      </c>
      <c r="M433" s="268">
        <f t="shared" si="94"/>
        <v>1008295.7000000012</v>
      </c>
      <c r="N433" s="268">
        <f t="shared" si="94"/>
        <v>4464071.6900000069</v>
      </c>
      <c r="O433" s="268">
        <f t="shared" si="94"/>
        <v>46864985.170000002</v>
      </c>
      <c r="P433" s="218" t="s">
        <v>367</v>
      </c>
      <c r="U433" s="258" t="s">
        <v>366</v>
      </c>
      <c r="V433" s="192">
        <v>470</v>
      </c>
      <c r="AA433" s="268" t="e">
        <f>AA421+AA431+#REF!+#REF!+#REF!+#REF!+#REF!+#REF!+#REF!+#REF!+#REF!+#REF!+#REF!+#REF!+#REF!+#REF!+#REF!+#REF!+AA413</f>
        <v>#REF!</v>
      </c>
      <c r="AB433" s="268" t="e">
        <f>AB421+AB431+#REF!+#REF!+#REF!+#REF!+#REF!+#REF!+#REF!+#REF!+#REF!+#REF!+#REF!+#REF!+#REF!+#REF!+#REF!+#REF!+AB413</f>
        <v>#REF!</v>
      </c>
      <c r="AC433" s="268" t="e">
        <f>AC421+AC431+#REF!+#REF!+#REF!+#REF!+#REF!+#REF!+#REF!+#REF!+#REF!+#REF!+#REF!+#REF!+#REF!+#REF!+#REF!+#REF!+AC413</f>
        <v>#REF!</v>
      </c>
      <c r="AD433" s="268" t="e">
        <f>AD421+AD431+#REF!+#REF!+#REF!+#REF!+#REF!+#REF!+#REF!+#REF!+#REF!+#REF!+#REF!+#REF!+#REF!+#REF!+#REF!+#REF!+AD413</f>
        <v>#REF!</v>
      </c>
      <c r="AF433" s="195">
        <f>C433+D433+E433-F433-G433</f>
        <v>0</v>
      </c>
      <c r="AG433" s="195"/>
      <c r="AH433" s="184">
        <v>403</v>
      </c>
      <c r="AJ433" s="184">
        <v>49595960.870000005</v>
      </c>
    </row>
    <row r="434" spans="2:36" x14ac:dyDescent="0.25">
      <c r="B434" s="224"/>
      <c r="C434" s="212"/>
      <c r="D434" s="212"/>
      <c r="E434" s="212"/>
      <c r="F434" s="221"/>
      <c r="G434" s="212"/>
      <c r="H434" s="225"/>
      <c r="I434" s="212"/>
      <c r="J434" s="212"/>
      <c r="K434" s="212"/>
      <c r="L434" s="212"/>
      <c r="M434" s="212"/>
      <c r="N434" s="212"/>
      <c r="O434" s="212"/>
      <c r="U434" s="224"/>
      <c r="V434" s="192">
        <v>471</v>
      </c>
      <c r="AA434" s="212"/>
      <c r="AB434" s="212"/>
      <c r="AC434" s="212"/>
      <c r="AD434" s="212"/>
      <c r="AH434" s="184">
        <v>404</v>
      </c>
    </row>
    <row r="435" spans="2:36" x14ac:dyDescent="0.25">
      <c r="B435" s="184" t="s">
        <v>368</v>
      </c>
      <c r="D435" s="185">
        <f>G435</f>
        <v>368004.25</v>
      </c>
      <c r="F435" s="221"/>
      <c r="G435" s="196">
        <f>H435+J435</f>
        <v>368004.25</v>
      </c>
      <c r="H435" s="269">
        <f>'[1]USM &amp; COI'!H110</f>
        <v>337504.25</v>
      </c>
      <c r="I435" s="196"/>
      <c r="J435" s="196">
        <f>'[1]USM &amp; COI'!J110</f>
        <v>30500</v>
      </c>
      <c r="K435" s="196"/>
      <c r="L435" s="221">
        <f>G435-H435-I435-J435-K435</f>
        <v>0</v>
      </c>
      <c r="M435" s="221">
        <f>H435-N435-O435+J435</f>
        <v>13000</v>
      </c>
      <c r="N435" s="221">
        <v>40000</v>
      </c>
      <c r="O435" s="221">
        <v>315004.25</v>
      </c>
      <c r="P435" s="218" t="s">
        <v>369</v>
      </c>
      <c r="U435" s="184" t="s">
        <v>368</v>
      </c>
      <c r="V435" s="192">
        <v>472</v>
      </c>
      <c r="AA435" s="221">
        <v>418495.01</v>
      </c>
      <c r="AB435" s="221"/>
      <c r="AC435" s="221"/>
      <c r="AD435" s="194">
        <f>AA435+AB435+AC435</f>
        <v>418495.01</v>
      </c>
      <c r="AH435" s="184">
        <v>405</v>
      </c>
      <c r="AJ435" s="184">
        <v>315004.25</v>
      </c>
    </row>
    <row r="436" spans="2:36" x14ac:dyDescent="0.25">
      <c r="F436" s="221"/>
      <c r="H436" s="269"/>
      <c r="I436" s="196"/>
      <c r="J436" s="196"/>
      <c r="K436" s="196"/>
      <c r="L436" s="221"/>
      <c r="M436" s="221"/>
      <c r="N436" s="221"/>
      <c r="O436" s="221"/>
      <c r="AH436" s="184">
        <v>406</v>
      </c>
    </row>
    <row r="437" spans="2:36" ht="13.8" thickBot="1" x14ac:dyDescent="0.3">
      <c r="F437" s="221"/>
      <c r="H437" s="269"/>
      <c r="I437" s="196"/>
      <c r="J437" s="196"/>
      <c r="K437" s="196"/>
      <c r="L437" s="221"/>
      <c r="M437" s="221"/>
      <c r="N437" s="221"/>
      <c r="O437" s="221"/>
      <c r="V437" s="192">
        <v>473</v>
      </c>
      <c r="AH437" s="184">
        <v>407</v>
      </c>
    </row>
    <row r="438" spans="2:36" s="194" customFormat="1" ht="13.8" thickBot="1" x14ac:dyDescent="0.3">
      <c r="B438" s="270" t="s">
        <v>370</v>
      </c>
      <c r="C438" s="271">
        <f t="shared" ref="C438:L438" si="95">C334+C433+C435</f>
        <v>1195183533</v>
      </c>
      <c r="D438" s="271">
        <f t="shared" si="95"/>
        <v>-12465532.470000001</v>
      </c>
      <c r="E438" s="271">
        <f t="shared" si="95"/>
        <v>1651730.79</v>
      </c>
      <c r="F438" s="271">
        <f t="shared" si="95"/>
        <v>836280287.15999997</v>
      </c>
      <c r="G438" s="271">
        <f t="shared" si="95"/>
        <v>348089444.15700001</v>
      </c>
      <c r="H438" s="337">
        <f t="shared" si="95"/>
        <v>90483768.810000017</v>
      </c>
      <c r="I438" s="271">
        <f t="shared" si="95"/>
        <v>0</v>
      </c>
      <c r="J438" s="271">
        <f t="shared" si="95"/>
        <v>30500</v>
      </c>
      <c r="K438" s="271">
        <f t="shared" si="95"/>
        <v>0</v>
      </c>
      <c r="L438" s="271">
        <f t="shared" si="95"/>
        <v>257575175.34699994</v>
      </c>
      <c r="M438" s="271">
        <f>M334+M433+M435</f>
        <v>5287140.9700000016</v>
      </c>
      <c r="N438" s="271">
        <f>N334+N433+N435</f>
        <v>24736684.720000006</v>
      </c>
      <c r="O438" s="271">
        <f>O334+O433+O435</f>
        <v>60490443.120000005</v>
      </c>
      <c r="P438" s="195"/>
      <c r="Q438" s="195"/>
      <c r="R438" s="195"/>
      <c r="U438" s="270" t="s">
        <v>371</v>
      </c>
      <c r="V438" s="192">
        <v>474</v>
      </c>
      <c r="W438" s="193"/>
      <c r="AA438" s="272" t="e">
        <f>AA334+AA433+AA435</f>
        <v>#REF!</v>
      </c>
      <c r="AB438" s="272" t="e">
        <f>AB334+AB433+AB435</f>
        <v>#REF!</v>
      </c>
      <c r="AC438" s="272" t="e">
        <f>AC334+AC433+AC435</f>
        <v>#REF!</v>
      </c>
      <c r="AD438" s="272" t="e">
        <f>AD334+AD433+AD435</f>
        <v>#REF!</v>
      </c>
      <c r="AE438" s="195"/>
      <c r="AF438" s="195">
        <f>C438+D438+E438-F438-G438</f>
        <v>2.9999613761901855E-3</v>
      </c>
      <c r="AH438" s="184">
        <v>408</v>
      </c>
      <c r="AJ438" s="194">
        <v>75902392.49000001</v>
      </c>
    </row>
    <row r="439" spans="2:36" ht="14.25" customHeight="1" thickTop="1" x14ac:dyDescent="0.25">
      <c r="B439" s="184" t="s">
        <v>372</v>
      </c>
      <c r="C439" s="269">
        <f>50139503+40000000+25000000</f>
        <v>115139503</v>
      </c>
      <c r="F439" s="273"/>
      <c r="H439" s="186">
        <v>0</v>
      </c>
      <c r="I439" s="221"/>
      <c r="J439" s="274">
        <v>0</v>
      </c>
      <c r="AF439" s="195">
        <f>H438+J438+-M438-N438-O438</f>
        <v>0</v>
      </c>
      <c r="AJ439" s="184">
        <v>0</v>
      </c>
    </row>
    <row r="440" spans="2:36" ht="12.75" customHeight="1" x14ac:dyDescent="0.25">
      <c r="B440" s="254" t="s">
        <v>373</v>
      </c>
      <c r="C440" s="269">
        <f>C441+C442+C443</f>
        <v>24993238.439999998</v>
      </c>
      <c r="D440" s="275"/>
      <c r="E440" s="275"/>
      <c r="F440" s="273"/>
      <c r="G440" s="195" t="s">
        <v>374</v>
      </c>
      <c r="H440" s="230">
        <f>H441-H439</f>
        <v>1941039.9600000004</v>
      </c>
      <c r="I440" s="274"/>
      <c r="J440" s="194">
        <f>J441-J439</f>
        <v>29000</v>
      </c>
      <c r="L440" s="276" t="s">
        <v>375</v>
      </c>
      <c r="M440" s="276"/>
      <c r="N440" s="333"/>
      <c r="U440" s="254"/>
      <c r="AJ440" s="184">
        <v>1941039.9600000004</v>
      </c>
    </row>
    <row r="441" spans="2:36" x14ac:dyDescent="0.25">
      <c r="B441" s="184" t="s">
        <v>376</v>
      </c>
      <c r="C441" s="277">
        <f>25000000-C445</f>
        <v>0</v>
      </c>
      <c r="D441" s="194"/>
      <c r="E441" s="194"/>
      <c r="F441" s="184"/>
      <c r="G441" s="278"/>
      <c r="H441" s="194">
        <v>1941039.9600000004</v>
      </c>
      <c r="I441" s="194"/>
      <c r="J441" s="255">
        <v>29000</v>
      </c>
      <c r="N441" s="333"/>
      <c r="O441" s="196">
        <f>O438-'[3]Summary 2022A'!$N$408</f>
        <v>0</v>
      </c>
      <c r="P441" s="184"/>
      <c r="Q441" s="184"/>
      <c r="R441" s="184"/>
      <c r="V441" s="184"/>
      <c r="W441" s="184"/>
      <c r="AA441" s="184"/>
      <c r="AB441" s="184"/>
      <c r="AC441" s="184"/>
      <c r="AD441" s="184"/>
      <c r="AE441" s="218"/>
      <c r="AJ441" s="184">
        <v>1941039.9600000004</v>
      </c>
    </row>
    <row r="442" spans="2:36" x14ac:dyDescent="0.25">
      <c r="B442" s="184" t="s">
        <v>377</v>
      </c>
      <c r="C442" s="255">
        <f>40000000-C446</f>
        <v>24642014.730000004</v>
      </c>
      <c r="D442" s="194"/>
      <c r="E442" s="194"/>
      <c r="F442" s="273"/>
      <c r="G442" s="278" t="s">
        <v>378</v>
      </c>
      <c r="H442" s="230">
        <f>H443-H441</f>
        <v>42700510.449999996</v>
      </c>
      <c r="I442" s="194"/>
      <c r="J442" s="194">
        <f>J443-J441</f>
        <v>1500</v>
      </c>
      <c r="L442" s="276" t="s">
        <v>379</v>
      </c>
      <c r="M442" s="276"/>
      <c r="N442" s="334"/>
      <c r="P442" s="184"/>
      <c r="Q442" s="184"/>
      <c r="R442" s="184"/>
      <c r="V442" s="184"/>
      <c r="W442" s="184"/>
      <c r="AA442" s="184"/>
      <c r="AB442" s="184"/>
      <c r="AC442" s="184"/>
      <c r="AD442" s="184"/>
      <c r="AE442" s="218"/>
      <c r="AJ442" s="184">
        <v>42700510.449999996</v>
      </c>
    </row>
    <row r="443" spans="2:36" ht="12" customHeight="1" x14ac:dyDescent="0.25">
      <c r="B443" s="184" t="s">
        <v>380</v>
      </c>
      <c r="C443" s="185">
        <f>50139503-C447</f>
        <v>351223.70999999344</v>
      </c>
      <c r="D443" s="194"/>
      <c r="E443" s="194"/>
      <c r="F443" s="273"/>
      <c r="G443" s="276"/>
      <c r="H443" s="255">
        <v>44641550.409999996</v>
      </c>
      <c r="I443" s="194"/>
      <c r="J443" s="255">
        <v>30500</v>
      </c>
      <c r="P443" s="184"/>
      <c r="Q443" s="184"/>
      <c r="R443" s="184"/>
      <c r="V443" s="184"/>
      <c r="W443" s="184"/>
      <c r="AA443" s="184"/>
      <c r="AB443" s="184"/>
      <c r="AC443" s="184"/>
      <c r="AD443" s="184"/>
      <c r="AE443" s="218"/>
      <c r="AJ443" s="184">
        <v>44641550.409999996</v>
      </c>
    </row>
    <row r="444" spans="2:36" ht="12" customHeight="1" x14ac:dyDescent="0.25">
      <c r="D444" s="194"/>
      <c r="E444" s="194"/>
      <c r="F444" s="273"/>
      <c r="G444" s="278" t="s">
        <v>381</v>
      </c>
      <c r="H444" s="230">
        <f>H445-H443</f>
        <v>1784501.3800000027</v>
      </c>
      <c r="I444" s="194"/>
      <c r="J444" s="255"/>
      <c r="P444" s="184"/>
      <c r="Q444" s="184"/>
      <c r="R444" s="184"/>
      <c r="V444" s="184"/>
      <c r="W444" s="184"/>
      <c r="AA444" s="184"/>
      <c r="AB444" s="184"/>
      <c r="AC444" s="184"/>
      <c r="AD444" s="184"/>
      <c r="AE444" s="218"/>
      <c r="AJ444" s="184">
        <v>1784501.3800000027</v>
      </c>
    </row>
    <row r="445" spans="2:36" x14ac:dyDescent="0.25">
      <c r="B445" s="184" t="s">
        <v>382</v>
      </c>
      <c r="C445" s="185">
        <f>H334-H50-H69-H70-H71-H78-H79-H80-H97-H98-H99-H101-H100-H121-H28-H29-H72-'[1]FR using 20-yr Bond'!H2-H7</f>
        <v>25000000.000000015</v>
      </c>
      <c r="D445" s="279"/>
      <c r="F445" s="273"/>
      <c r="G445" s="280"/>
      <c r="H445" s="255">
        <v>46426051.789999999</v>
      </c>
      <c r="I445" s="281"/>
      <c r="J445" s="281"/>
      <c r="AJ445" s="184">
        <v>46426051.789999999</v>
      </c>
    </row>
    <row r="446" spans="2:36" x14ac:dyDescent="0.25">
      <c r="B446" s="184" t="s">
        <v>383</v>
      </c>
      <c r="C446" s="185">
        <f>H438-H435-C445-C447</f>
        <v>15357985.269999996</v>
      </c>
      <c r="G446" s="278" t="s">
        <v>384</v>
      </c>
      <c r="H446" s="230">
        <f>H447-H445</f>
        <v>409087.37000000477</v>
      </c>
      <c r="AJ446" s="184">
        <v>409087.37000000477</v>
      </c>
    </row>
    <row r="447" spans="2:36" x14ac:dyDescent="0.25">
      <c r="B447" s="184" t="s">
        <v>385</v>
      </c>
      <c r="C447" s="185">
        <f>H363+H364+H369+H370+H385</f>
        <v>49788279.290000007</v>
      </c>
      <c r="G447" s="276"/>
      <c r="H447" s="186">
        <v>46835139.160000004</v>
      </c>
      <c r="O447" s="269"/>
      <c r="AJ447" s="184">
        <v>46835139.160000004</v>
      </c>
    </row>
    <row r="448" spans="2:36" x14ac:dyDescent="0.25">
      <c r="G448" s="278" t="s">
        <v>386</v>
      </c>
      <c r="H448" s="230">
        <f>H449-H447</f>
        <v>16157.25</v>
      </c>
      <c r="L448" s="269"/>
      <c r="M448" s="269"/>
      <c r="N448" s="269"/>
      <c r="O448" s="269"/>
      <c r="AF448" s="218"/>
      <c r="AJ448" s="184">
        <v>16157.25</v>
      </c>
    </row>
    <row r="449" spans="2:36" x14ac:dyDescent="0.25">
      <c r="B449" s="186" t="s">
        <v>387</v>
      </c>
      <c r="C449" s="269" t="s">
        <v>388</v>
      </c>
      <c r="G449" s="276"/>
      <c r="H449" s="186">
        <v>46851296.410000004</v>
      </c>
      <c r="AF449" s="282"/>
      <c r="AJ449" s="184">
        <v>46851296.410000004</v>
      </c>
    </row>
    <row r="450" spans="2:36" x14ac:dyDescent="0.25">
      <c r="B450" s="186" t="s">
        <v>389</v>
      </c>
      <c r="C450" s="269" t="s">
        <v>390</v>
      </c>
      <c r="G450" s="278" t="s">
        <v>391</v>
      </c>
      <c r="H450" s="230">
        <f>H451-H449</f>
        <v>2592391.3299999908</v>
      </c>
      <c r="AF450" s="282"/>
      <c r="AJ450" s="184">
        <v>2592391.3299999908</v>
      </c>
    </row>
    <row r="451" spans="2:36" hidden="1" x14ac:dyDescent="0.25">
      <c r="G451" s="276"/>
      <c r="H451" s="186">
        <v>49443687.739999995</v>
      </c>
      <c r="AF451" s="282"/>
      <c r="AJ451" s="184">
        <v>49443687.739999995</v>
      </c>
    </row>
    <row r="452" spans="2:36" hidden="1" x14ac:dyDescent="0.25">
      <c r="G452" s="278" t="s">
        <v>392</v>
      </c>
      <c r="H452" s="194">
        <f>H453-H451</f>
        <v>1625044.9700000063</v>
      </c>
      <c r="AF452" s="195"/>
      <c r="AJ452" s="184">
        <v>1625044.9700000063</v>
      </c>
    </row>
    <row r="453" spans="2:36" hidden="1" x14ac:dyDescent="0.25">
      <c r="G453" s="276"/>
      <c r="H453" s="186">
        <v>51068732.710000001</v>
      </c>
      <c r="AF453" s="218"/>
      <c r="AJ453" s="184">
        <v>51068732.710000001</v>
      </c>
    </row>
    <row r="454" spans="2:36" hidden="1" x14ac:dyDescent="0.25">
      <c r="G454" s="278" t="s">
        <v>393</v>
      </c>
      <c r="H454" s="194">
        <f>H455-H453</f>
        <v>399330.03000000119</v>
      </c>
      <c r="AJ454" s="184">
        <v>399330.03000000119</v>
      </c>
    </row>
    <row r="455" spans="2:36" hidden="1" x14ac:dyDescent="0.25">
      <c r="G455" s="276"/>
      <c r="H455" s="186">
        <v>51468062.740000002</v>
      </c>
      <c r="AJ455" s="184">
        <v>51468062.740000002</v>
      </c>
    </row>
    <row r="456" spans="2:36" hidden="1" x14ac:dyDescent="0.25">
      <c r="G456" s="278" t="s">
        <v>394</v>
      </c>
      <c r="H456" s="194">
        <f>H457-H455</f>
        <v>851972.21999999881</v>
      </c>
      <c r="AJ456" s="184">
        <v>851972.21999999881</v>
      </c>
    </row>
    <row r="457" spans="2:36" hidden="1" x14ac:dyDescent="0.25">
      <c r="G457" s="276"/>
      <c r="H457" s="186">
        <v>52320034.960000001</v>
      </c>
      <c r="AJ457" s="184">
        <v>52320034.960000001</v>
      </c>
    </row>
    <row r="458" spans="2:36" hidden="1" x14ac:dyDescent="0.25">
      <c r="G458" s="278" t="s">
        <v>395</v>
      </c>
      <c r="H458" s="194">
        <f>H459-H457</f>
        <v>1078847.5300000012</v>
      </c>
      <c r="AJ458" s="184">
        <v>1078847.5300000012</v>
      </c>
    </row>
    <row r="459" spans="2:36" hidden="1" x14ac:dyDescent="0.25">
      <c r="G459" s="276"/>
      <c r="H459" s="186">
        <v>53398882.490000002</v>
      </c>
      <c r="AJ459" s="184">
        <v>53398882.490000002</v>
      </c>
    </row>
    <row r="460" spans="2:36" hidden="1" x14ac:dyDescent="0.25">
      <c r="G460" s="278" t="s">
        <v>396</v>
      </c>
      <c r="H460" s="194">
        <f>H461-H459</f>
        <v>2462179.9299999997</v>
      </c>
      <c r="AJ460" s="184">
        <v>2462179.9299999997</v>
      </c>
    </row>
    <row r="461" spans="2:36" hidden="1" x14ac:dyDescent="0.25">
      <c r="G461" s="276"/>
      <c r="H461" s="186">
        <v>55861062.420000002</v>
      </c>
      <c r="K461" s="212"/>
      <c r="L461" s="283"/>
      <c r="M461" s="283"/>
      <c r="N461" s="283"/>
      <c r="O461" s="283"/>
      <c r="AJ461" s="184">
        <v>55861062.420000002</v>
      </c>
    </row>
    <row r="462" spans="2:36" hidden="1" x14ac:dyDescent="0.25">
      <c r="G462" s="278" t="s">
        <v>397</v>
      </c>
      <c r="H462" s="194">
        <f>H463-H461</f>
        <v>100161.94999999553</v>
      </c>
      <c r="K462" s="194"/>
      <c r="L462" s="284"/>
      <c r="M462" s="284"/>
      <c r="N462" s="284"/>
      <c r="O462" s="284"/>
      <c r="AJ462" s="184">
        <v>100161.94999999553</v>
      </c>
    </row>
    <row r="463" spans="2:36" hidden="1" x14ac:dyDescent="0.25">
      <c r="G463" s="276"/>
      <c r="H463" s="186">
        <v>55961224.369999997</v>
      </c>
      <c r="K463" s="194"/>
      <c r="L463" s="285"/>
      <c r="M463" s="285"/>
      <c r="N463" s="285"/>
      <c r="O463" s="285"/>
      <c r="AJ463" s="184">
        <v>55961224.369999997</v>
      </c>
    </row>
    <row r="464" spans="2:36" hidden="1" x14ac:dyDescent="0.25">
      <c r="G464" s="278" t="s">
        <v>398</v>
      </c>
      <c r="H464" s="194">
        <f>H465-H463</f>
        <v>101774.70000000298</v>
      </c>
      <c r="K464" s="194"/>
      <c r="L464" s="284"/>
      <c r="M464" s="284"/>
      <c r="N464" s="284"/>
      <c r="O464" s="284"/>
      <c r="AJ464" s="184">
        <v>101774.70000000298</v>
      </c>
    </row>
    <row r="465" spans="7:36" hidden="1" x14ac:dyDescent="0.25">
      <c r="G465" s="276"/>
      <c r="H465" s="186">
        <v>56062999.07</v>
      </c>
      <c r="K465" s="194"/>
      <c r="L465" s="285"/>
      <c r="M465" s="285"/>
      <c r="N465" s="285"/>
      <c r="O465" s="285"/>
      <c r="AJ465" s="184">
        <v>56062999.07</v>
      </c>
    </row>
    <row r="466" spans="7:36" hidden="1" x14ac:dyDescent="0.25">
      <c r="G466" s="278" t="s">
        <v>399</v>
      </c>
      <c r="H466" s="194">
        <f>H467-H465</f>
        <v>230721.17000000179</v>
      </c>
      <c r="K466" s="194"/>
      <c r="L466" s="284"/>
      <c r="M466" s="284"/>
      <c r="N466" s="284"/>
      <c r="O466" s="284"/>
      <c r="AJ466" s="184">
        <v>230721.17000000179</v>
      </c>
    </row>
    <row r="467" spans="7:36" hidden="1" x14ac:dyDescent="0.25">
      <c r="G467" s="276"/>
      <c r="H467" s="186">
        <v>56293720.240000002</v>
      </c>
      <c r="K467" s="285"/>
      <c r="L467" s="284"/>
      <c r="M467" s="284"/>
      <c r="N467" s="284"/>
      <c r="O467" s="284"/>
      <c r="AJ467" s="184">
        <v>56293720.240000002</v>
      </c>
    </row>
    <row r="468" spans="7:36" hidden="1" x14ac:dyDescent="0.25">
      <c r="G468" s="278" t="s">
        <v>400</v>
      </c>
      <c r="H468" s="194">
        <f>H469-H467</f>
        <v>3121389.3500000015</v>
      </c>
      <c r="K468" s="194"/>
      <c r="L468" s="284"/>
      <c r="M468" s="284"/>
      <c r="N468" s="284"/>
      <c r="O468" s="284"/>
      <c r="AJ468" s="184">
        <v>3121389.3500000015</v>
      </c>
    </row>
    <row r="469" spans="7:36" hidden="1" x14ac:dyDescent="0.25">
      <c r="G469" s="276"/>
      <c r="H469" s="186">
        <v>59415109.590000004</v>
      </c>
      <c r="AJ469" s="184">
        <v>59415109.590000004</v>
      </c>
    </row>
    <row r="470" spans="7:36" hidden="1" x14ac:dyDescent="0.25">
      <c r="G470" s="278" t="s">
        <v>401</v>
      </c>
      <c r="H470" s="194">
        <f>H471-H469</f>
        <v>206628.31999999285</v>
      </c>
      <c r="K470" s="194"/>
      <c r="L470" s="284"/>
      <c r="M470" s="284"/>
      <c r="N470" s="284"/>
      <c r="O470" s="284"/>
      <c r="AJ470" s="184">
        <v>206628.31999999285</v>
      </c>
    </row>
    <row r="471" spans="7:36" hidden="1" x14ac:dyDescent="0.25">
      <c r="G471" s="276"/>
      <c r="H471" s="186">
        <v>59621737.909999996</v>
      </c>
      <c r="AJ471" s="184">
        <v>59621737.909999996</v>
      </c>
    </row>
    <row r="472" spans="7:36" hidden="1" x14ac:dyDescent="0.25">
      <c r="G472" s="278" t="s">
        <v>402</v>
      </c>
      <c r="H472" s="194">
        <f>H473-H471</f>
        <v>255723.22000000626</v>
      </c>
      <c r="J472" s="186"/>
      <c r="K472" s="194"/>
      <c r="L472" s="284"/>
      <c r="M472" s="284"/>
      <c r="N472" s="284"/>
      <c r="O472" s="284"/>
      <c r="AJ472" s="184">
        <v>255723.22000000626</v>
      </c>
    </row>
    <row r="473" spans="7:36" hidden="1" x14ac:dyDescent="0.25">
      <c r="G473" s="276"/>
      <c r="H473" s="186">
        <v>59877461.130000003</v>
      </c>
      <c r="AJ473" s="184">
        <v>59877461.130000003</v>
      </c>
    </row>
    <row r="474" spans="7:36" hidden="1" x14ac:dyDescent="0.25">
      <c r="G474" s="278" t="s">
        <v>403</v>
      </c>
      <c r="H474" s="194">
        <f>H475-H473</f>
        <v>612981.98999999464</v>
      </c>
      <c r="K474" s="194"/>
      <c r="L474" s="284"/>
      <c r="M474" s="284"/>
      <c r="N474" s="284"/>
      <c r="O474" s="284"/>
      <c r="AJ474" s="184">
        <v>612981.98999999464</v>
      </c>
    </row>
    <row r="475" spans="7:36" hidden="1" x14ac:dyDescent="0.25">
      <c r="G475" s="276"/>
      <c r="H475" s="186">
        <v>60490443.119999997</v>
      </c>
      <c r="AJ475" s="184">
        <v>60490443.119999997</v>
      </c>
    </row>
    <row r="476" spans="7:36" hidden="1" x14ac:dyDescent="0.25">
      <c r="G476" s="278" t="s">
        <v>404</v>
      </c>
      <c r="H476" s="194">
        <f>H477-H475</f>
        <v>430016.23000000417</v>
      </c>
      <c r="K476" s="194"/>
      <c r="L476" s="284"/>
      <c r="M476" s="284"/>
      <c r="N476" s="284"/>
      <c r="AJ476" s="184">
        <v>430016.23000000417</v>
      </c>
    </row>
    <row r="477" spans="7:36" hidden="1" x14ac:dyDescent="0.25">
      <c r="G477" s="276"/>
      <c r="H477" s="186">
        <v>60920459.350000001</v>
      </c>
      <c r="AJ477" s="184">
        <v>60920459.350000001</v>
      </c>
    </row>
    <row r="478" spans="7:36" hidden="1" x14ac:dyDescent="0.25">
      <c r="G478" s="278" t="s">
        <v>405</v>
      </c>
      <c r="H478" s="194">
        <f>H479-H477</f>
        <v>337549.54999999702</v>
      </c>
      <c r="K478" s="194"/>
      <c r="L478" s="284"/>
      <c r="M478" s="284"/>
      <c r="N478" s="284"/>
      <c r="AJ478" s="184">
        <v>337549.54999999702</v>
      </c>
    </row>
    <row r="479" spans="7:36" hidden="1" x14ac:dyDescent="0.25">
      <c r="G479" s="276"/>
      <c r="H479" s="186">
        <v>61258008.899999999</v>
      </c>
      <c r="K479" s="191"/>
      <c r="L479" s="189"/>
      <c r="M479" s="189"/>
      <c r="N479" s="189"/>
      <c r="O479" s="189"/>
      <c r="AJ479" s="184">
        <v>61258008.899999999</v>
      </c>
    </row>
    <row r="480" spans="7:36" hidden="1" x14ac:dyDescent="0.25">
      <c r="G480" s="286" t="s">
        <v>406</v>
      </c>
      <c r="H480" s="194">
        <f>H481-H479</f>
        <v>150728.3900000006</v>
      </c>
      <c r="K480" s="194"/>
      <c r="L480" s="284"/>
      <c r="M480" s="284"/>
      <c r="N480" s="284"/>
      <c r="O480" s="189"/>
      <c r="AJ480" s="184">
        <v>150728.3900000006</v>
      </c>
    </row>
    <row r="481" spans="2:36" hidden="1" x14ac:dyDescent="0.25">
      <c r="G481" s="276"/>
      <c r="H481" s="186">
        <v>61408737.289999999</v>
      </c>
      <c r="K481" s="191"/>
      <c r="L481" s="189"/>
      <c r="M481" s="189"/>
      <c r="N481" s="189"/>
      <c r="O481" s="189"/>
      <c r="AJ481" s="184">
        <v>61408737.289999999</v>
      </c>
    </row>
    <row r="482" spans="2:36" hidden="1" x14ac:dyDescent="0.25">
      <c r="G482" s="276" t="s">
        <v>407</v>
      </c>
      <c r="H482" s="194">
        <f>H483-H481</f>
        <v>199086.68999999762</v>
      </c>
      <c r="K482" s="194"/>
      <c r="L482" s="283"/>
      <c r="M482" s="283"/>
      <c r="N482" s="283"/>
      <c r="O482" s="189"/>
      <c r="AJ482" s="184">
        <v>199086.68999999762</v>
      </c>
    </row>
    <row r="483" spans="2:36" hidden="1" x14ac:dyDescent="0.25">
      <c r="G483" s="276"/>
      <c r="H483" s="186">
        <v>61607823.979999997</v>
      </c>
      <c r="K483" s="191"/>
      <c r="L483" s="189"/>
      <c r="M483" s="189"/>
      <c r="N483" s="189"/>
      <c r="O483" s="189"/>
      <c r="AJ483" s="184">
        <v>61607823.979999997</v>
      </c>
    </row>
    <row r="484" spans="2:36" hidden="1" x14ac:dyDescent="0.25">
      <c r="G484" s="276" t="s">
        <v>408</v>
      </c>
      <c r="H484" s="194">
        <f>H485-H483</f>
        <v>194893.69000000507</v>
      </c>
      <c r="K484" s="194"/>
      <c r="L484" s="283"/>
      <c r="M484" s="283"/>
      <c r="N484" s="283"/>
      <c r="O484" s="189"/>
      <c r="AJ484" s="184">
        <v>194893.69000000507</v>
      </c>
    </row>
    <row r="485" spans="2:36" hidden="1" x14ac:dyDescent="0.25">
      <c r="G485" s="276"/>
      <c r="H485" s="186">
        <v>61802717.670000002</v>
      </c>
      <c r="K485" s="191"/>
      <c r="L485" s="189"/>
      <c r="M485" s="189"/>
      <c r="N485" s="189"/>
      <c r="O485" s="189"/>
      <c r="AJ485" s="184">
        <v>61802717.670000002</v>
      </c>
    </row>
    <row r="486" spans="2:36" hidden="1" x14ac:dyDescent="0.25">
      <c r="G486" s="276" t="s">
        <v>409</v>
      </c>
      <c r="H486" s="194">
        <f>H487-H485</f>
        <v>578109.71999999881</v>
      </c>
      <c r="K486" s="194"/>
      <c r="L486" s="283"/>
      <c r="M486" s="283"/>
      <c r="N486" s="283"/>
      <c r="O486" s="189"/>
      <c r="AJ486" s="184">
        <v>578109.71999999881</v>
      </c>
    </row>
    <row r="487" spans="2:36" hidden="1" x14ac:dyDescent="0.25">
      <c r="G487" s="276"/>
      <c r="H487" s="186">
        <v>62380827.390000001</v>
      </c>
      <c r="AJ487" s="184">
        <v>62380827.390000001</v>
      </c>
    </row>
    <row r="488" spans="2:36" hidden="1" x14ac:dyDescent="0.25">
      <c r="G488" s="286" t="s">
        <v>410</v>
      </c>
      <c r="H488" s="194">
        <f>H489-H487</f>
        <v>344951.29000000656</v>
      </c>
      <c r="K488" s="194"/>
      <c r="L488" s="283"/>
      <c r="M488" s="283"/>
      <c r="N488" s="283"/>
      <c r="AJ488" s="184">
        <v>344951.29000000656</v>
      </c>
    </row>
    <row r="489" spans="2:36" hidden="1" x14ac:dyDescent="0.25">
      <c r="G489" s="276"/>
      <c r="H489" s="186">
        <v>62725778.680000007</v>
      </c>
      <c r="AJ489" s="184">
        <v>62725778.680000007</v>
      </c>
    </row>
    <row r="490" spans="2:36" hidden="1" x14ac:dyDescent="0.25">
      <c r="G490" s="286" t="s">
        <v>411</v>
      </c>
      <c r="H490" s="194">
        <f>H491-H489</f>
        <v>377237</v>
      </c>
      <c r="K490" s="194"/>
      <c r="L490" s="283"/>
      <c r="M490" s="283"/>
      <c r="N490" s="283"/>
      <c r="AJ490" s="184">
        <v>377237</v>
      </c>
    </row>
    <row r="491" spans="2:36" hidden="1" x14ac:dyDescent="0.25">
      <c r="G491" s="276"/>
      <c r="H491" s="186">
        <v>63103015.680000007</v>
      </c>
      <c r="AJ491" s="184">
        <v>63103015.680000007</v>
      </c>
    </row>
    <row r="492" spans="2:36" hidden="1" x14ac:dyDescent="0.25">
      <c r="G492" s="286" t="s">
        <v>412</v>
      </c>
      <c r="H492" s="194">
        <f>H493-H491</f>
        <v>569361.15000000596</v>
      </c>
      <c r="K492" s="194"/>
      <c r="L492" s="287"/>
      <c r="M492" s="287"/>
      <c r="N492" s="287"/>
      <c r="AJ492" s="184">
        <v>569361.15000000596</v>
      </c>
    </row>
    <row r="493" spans="2:36" hidden="1" x14ac:dyDescent="0.25">
      <c r="G493" s="276"/>
      <c r="H493" s="186">
        <v>63672376.830000013</v>
      </c>
      <c r="AJ493" s="184">
        <v>63672376.830000013</v>
      </c>
    </row>
    <row r="494" spans="2:36" hidden="1" x14ac:dyDescent="0.25">
      <c r="G494" s="286" t="s">
        <v>413</v>
      </c>
      <c r="H494" s="194">
        <f>H495-H493</f>
        <v>215403</v>
      </c>
      <c r="K494" s="194"/>
      <c r="L494" s="287"/>
      <c r="M494" s="287"/>
      <c r="N494" s="287"/>
      <c r="AJ494" s="184">
        <v>215403</v>
      </c>
    </row>
    <row r="495" spans="2:36" hidden="1" x14ac:dyDescent="0.25">
      <c r="B495" s="184" t="s">
        <v>414</v>
      </c>
      <c r="C495" s="185">
        <f>'[2]Summary 2021A'!$C$791</f>
        <v>242000000</v>
      </c>
      <c r="G495" s="276"/>
      <c r="H495" s="186">
        <v>63887779.830000013</v>
      </c>
      <c r="AJ495" s="184">
        <v>63887779.830000013</v>
      </c>
    </row>
    <row r="496" spans="2:36" hidden="1" x14ac:dyDescent="0.25">
      <c r="G496" s="286" t="s">
        <v>415</v>
      </c>
      <c r="H496" s="194">
        <f>H497-H495</f>
        <v>76886.269999995828</v>
      </c>
      <c r="K496" s="194"/>
      <c r="L496" s="276"/>
      <c r="M496" s="276"/>
      <c r="N496" s="287"/>
      <c r="AJ496" s="184">
        <v>76886.269999995828</v>
      </c>
    </row>
    <row r="497" spans="6:36" hidden="1" x14ac:dyDescent="0.25">
      <c r="G497" s="276"/>
      <c r="H497" s="185">
        <v>63964666.100000009</v>
      </c>
      <c r="L497" s="276"/>
      <c r="M497" s="276"/>
      <c r="AJ497" s="184">
        <v>63964666.100000009</v>
      </c>
    </row>
    <row r="498" spans="6:36" hidden="1" x14ac:dyDescent="0.25">
      <c r="G498" s="286" t="s">
        <v>416</v>
      </c>
      <c r="H498" s="194">
        <f>H499-H497</f>
        <v>44536.930000007153</v>
      </c>
      <c r="K498" s="194"/>
      <c r="L498" s="276"/>
      <c r="M498" s="276"/>
      <c r="N498" s="287"/>
      <c r="AJ498" s="184">
        <v>44536.930000007153</v>
      </c>
    </row>
    <row r="499" spans="6:36" hidden="1" x14ac:dyDescent="0.25">
      <c r="G499" s="276"/>
      <c r="H499" s="186">
        <v>64009203.030000016</v>
      </c>
      <c r="AJ499" s="184">
        <v>64009203.030000016</v>
      </c>
    </row>
    <row r="500" spans="6:36" hidden="1" x14ac:dyDescent="0.25">
      <c r="F500" s="288">
        <v>45216</v>
      </c>
      <c r="G500" s="286" t="s">
        <v>417</v>
      </c>
      <c r="H500" s="194">
        <f>H501-H499</f>
        <v>3812242.6199999899</v>
      </c>
      <c r="K500" s="194"/>
      <c r="L500" s="287"/>
      <c r="M500" s="287"/>
      <c r="N500" s="287"/>
      <c r="AJ500" s="184">
        <v>3812242.6199999899</v>
      </c>
    </row>
    <row r="501" spans="6:36" hidden="1" x14ac:dyDescent="0.25">
      <c r="F501" s="288"/>
      <c r="G501" s="276"/>
      <c r="H501" s="186">
        <v>67821445.650000006</v>
      </c>
      <c r="AJ501" s="184">
        <v>67821445.650000006</v>
      </c>
    </row>
    <row r="502" spans="6:36" hidden="1" x14ac:dyDescent="0.25">
      <c r="F502" s="288">
        <v>45219</v>
      </c>
      <c r="G502" s="286" t="s">
        <v>418</v>
      </c>
      <c r="H502" s="194">
        <f>H503-H501</f>
        <v>100987.70000000298</v>
      </c>
      <c r="K502" s="194"/>
      <c r="L502" s="287"/>
      <c r="M502" s="287"/>
      <c r="N502" s="287"/>
      <c r="AJ502" s="184">
        <v>100987.70000000298</v>
      </c>
    </row>
    <row r="503" spans="6:36" hidden="1" x14ac:dyDescent="0.25">
      <c r="F503" s="288"/>
      <c r="G503" s="276"/>
      <c r="H503" s="190">
        <v>67922433.350000009</v>
      </c>
      <c r="AJ503" s="184">
        <v>67922433.350000009</v>
      </c>
    </row>
    <row r="504" spans="6:36" hidden="1" x14ac:dyDescent="0.25">
      <c r="F504" s="288"/>
      <c r="G504" s="286" t="s">
        <v>419</v>
      </c>
      <c r="H504" s="194">
        <f>H505-H503</f>
        <v>198</v>
      </c>
      <c r="K504" s="194"/>
      <c r="L504" s="289"/>
      <c r="M504" s="289"/>
      <c r="N504" s="289"/>
      <c r="AJ504" s="184">
        <v>198</v>
      </c>
    </row>
    <row r="505" spans="6:36" ht="13.5" hidden="1" customHeight="1" x14ac:dyDescent="0.25">
      <c r="F505" s="288"/>
      <c r="G505" s="276"/>
      <c r="H505" s="190">
        <v>67922631.350000009</v>
      </c>
      <c r="L505" s="289"/>
      <c r="M505" s="289"/>
      <c r="N505" s="289"/>
      <c r="AJ505" s="184">
        <v>67922631.350000009</v>
      </c>
    </row>
    <row r="506" spans="6:36" hidden="1" x14ac:dyDescent="0.25">
      <c r="F506" s="288">
        <v>45226</v>
      </c>
      <c r="G506" s="286" t="s">
        <v>420</v>
      </c>
      <c r="H506" s="194">
        <f>H507-H505</f>
        <v>2960.0400000065565</v>
      </c>
      <c r="K506" s="194"/>
      <c r="L506" s="289"/>
      <c r="M506" s="289"/>
      <c r="N506" s="289"/>
      <c r="AJ506" s="184">
        <v>2960.0400000065565</v>
      </c>
    </row>
    <row r="507" spans="6:36" hidden="1" x14ac:dyDescent="0.25">
      <c r="F507" s="288"/>
      <c r="G507" s="276"/>
      <c r="H507" s="186">
        <v>67925591.390000015</v>
      </c>
      <c r="L507" s="289"/>
      <c r="M507" s="289"/>
      <c r="N507" s="289"/>
      <c r="AJ507" s="184">
        <v>67925591.390000015</v>
      </c>
    </row>
    <row r="508" spans="6:36" hidden="1" x14ac:dyDescent="0.25">
      <c r="F508" s="288">
        <v>45237</v>
      </c>
      <c r="G508" s="286" t="s">
        <v>421</v>
      </c>
      <c r="H508" s="194">
        <f>H509-H507</f>
        <v>131078.72999998927</v>
      </c>
      <c r="K508" s="194"/>
      <c r="L508" s="289"/>
      <c r="M508" s="289"/>
      <c r="N508" s="289"/>
      <c r="AJ508" s="184">
        <v>131078.72999998927</v>
      </c>
    </row>
    <row r="509" spans="6:36" hidden="1" x14ac:dyDescent="0.25">
      <c r="F509" s="288"/>
      <c r="G509" s="276"/>
      <c r="H509" s="186">
        <v>68056670.120000005</v>
      </c>
      <c r="N509" s="289"/>
      <c r="AJ509" s="184">
        <v>68056670.120000005</v>
      </c>
    </row>
    <row r="510" spans="6:36" hidden="1" x14ac:dyDescent="0.25">
      <c r="F510" s="288">
        <v>45246</v>
      </c>
      <c r="G510" s="286" t="s">
        <v>422</v>
      </c>
      <c r="H510" s="194">
        <f>H511-H509</f>
        <v>217976.22999998927</v>
      </c>
      <c r="N510" s="289"/>
      <c r="AJ510" s="184">
        <v>217976.22999998927</v>
      </c>
    </row>
    <row r="511" spans="6:36" hidden="1" x14ac:dyDescent="0.25">
      <c r="F511" s="288"/>
      <c r="G511" s="276"/>
      <c r="H511" s="186">
        <v>68274646.349999994</v>
      </c>
      <c r="N511" s="289"/>
      <c r="AJ511" s="184">
        <v>68274646.349999994</v>
      </c>
    </row>
    <row r="512" spans="6:36" hidden="1" x14ac:dyDescent="0.25">
      <c r="F512" s="288">
        <v>45251</v>
      </c>
      <c r="G512" s="286" t="s">
        <v>423</v>
      </c>
      <c r="H512" s="194">
        <f>H513-H511</f>
        <v>57363.640000015497</v>
      </c>
      <c r="N512" s="290"/>
      <c r="AJ512" s="184">
        <v>57363.640000015497</v>
      </c>
    </row>
    <row r="513" spans="6:36" hidden="1" x14ac:dyDescent="0.25">
      <c r="F513" s="288"/>
      <c r="G513" s="276"/>
      <c r="H513" s="186">
        <v>68332009.99000001</v>
      </c>
      <c r="L513" s="289"/>
      <c r="M513" s="289"/>
      <c r="N513" s="289"/>
      <c r="AJ513" s="184">
        <v>68332009.99000001</v>
      </c>
    </row>
    <row r="514" spans="6:36" hidden="1" x14ac:dyDescent="0.25">
      <c r="F514" s="288">
        <v>45265</v>
      </c>
      <c r="G514" s="286" t="s">
        <v>424</v>
      </c>
      <c r="H514" s="194">
        <f>H515-H513</f>
        <v>79790.949999988079</v>
      </c>
      <c r="K514" s="194"/>
      <c r="L514" s="289"/>
      <c r="M514" s="289"/>
      <c r="N514" s="290"/>
      <c r="AJ514" s="184">
        <v>79790.949999988079</v>
      </c>
    </row>
    <row r="515" spans="6:36" hidden="1" x14ac:dyDescent="0.25">
      <c r="F515" s="288"/>
      <c r="G515" s="276"/>
      <c r="H515" s="186">
        <v>68411800.939999998</v>
      </c>
      <c r="L515" s="289"/>
      <c r="M515" s="289"/>
      <c r="N515" s="289"/>
      <c r="AJ515" s="184">
        <v>68411800.939999998</v>
      </c>
    </row>
    <row r="516" spans="6:36" hidden="1" x14ac:dyDescent="0.25">
      <c r="F516" s="288">
        <v>45273</v>
      </c>
      <c r="G516" s="286" t="s">
        <v>425</v>
      </c>
      <c r="H516" s="194">
        <f>H517-H515</f>
        <v>1612407.650000006</v>
      </c>
      <c r="K516" s="194"/>
      <c r="L516" s="290"/>
      <c r="M516" s="290"/>
      <c r="N516" s="290"/>
      <c r="AJ516" s="184">
        <v>1612407.650000006</v>
      </c>
    </row>
    <row r="517" spans="6:36" hidden="1" x14ac:dyDescent="0.25">
      <c r="F517" s="288"/>
      <c r="G517" s="276"/>
      <c r="H517" s="186">
        <v>70024208.590000004</v>
      </c>
      <c r="L517" s="289"/>
      <c r="M517" s="289"/>
      <c r="N517" s="289"/>
      <c r="AJ517" s="184">
        <v>70024208.590000004</v>
      </c>
    </row>
    <row r="518" spans="6:36" hidden="1" x14ac:dyDescent="0.25">
      <c r="F518" s="288">
        <v>45279</v>
      </c>
      <c r="G518" s="286" t="s">
        <v>426</v>
      </c>
      <c r="H518" s="194">
        <f>H519-H517</f>
        <v>94671.70000000298</v>
      </c>
      <c r="K518" s="194"/>
      <c r="L518" s="290"/>
      <c r="M518" s="290"/>
      <c r="N518" s="289"/>
      <c r="AJ518" s="184">
        <v>94671.70000000298</v>
      </c>
    </row>
    <row r="519" spans="6:36" hidden="1" x14ac:dyDescent="0.25">
      <c r="F519" s="288"/>
      <c r="G519" s="276"/>
      <c r="H519" s="186">
        <v>70118880.290000007</v>
      </c>
      <c r="K519" s="289"/>
      <c r="L519" s="289"/>
      <c r="M519" s="289"/>
      <c r="N519" s="289"/>
      <c r="AJ519" s="184">
        <v>70118880.290000007</v>
      </c>
    </row>
    <row r="520" spans="6:36" hidden="1" x14ac:dyDescent="0.25">
      <c r="F520" s="288">
        <v>45280</v>
      </c>
      <c r="G520" s="286" t="s">
        <v>427</v>
      </c>
      <c r="H520" s="194">
        <f>H521-H519</f>
        <v>2216432.9699999988</v>
      </c>
      <c r="K520" s="194"/>
      <c r="L520" s="289"/>
      <c r="M520" s="289"/>
      <c r="N520" s="289"/>
      <c r="AJ520" s="184">
        <v>2216432.9699999988</v>
      </c>
    </row>
    <row r="521" spans="6:36" hidden="1" x14ac:dyDescent="0.25">
      <c r="F521" s="288"/>
      <c r="G521" s="276"/>
      <c r="H521" s="186">
        <v>72335313.260000005</v>
      </c>
      <c r="K521" s="196"/>
      <c r="AJ521" s="184">
        <v>72335313.260000005</v>
      </c>
    </row>
    <row r="522" spans="6:36" hidden="1" x14ac:dyDescent="0.25">
      <c r="F522" s="288">
        <v>44935</v>
      </c>
      <c r="G522" s="286" t="s">
        <v>428</v>
      </c>
      <c r="H522" s="194">
        <f>H523-H521</f>
        <v>23535.630000010133</v>
      </c>
      <c r="K522" s="194"/>
      <c r="L522" s="275"/>
      <c r="M522" s="275"/>
      <c r="N522" s="275"/>
      <c r="AJ522" s="184">
        <v>23535.630000010133</v>
      </c>
    </row>
    <row r="523" spans="6:36" hidden="1" x14ac:dyDescent="0.25">
      <c r="F523" s="288"/>
      <c r="G523" s="276"/>
      <c r="H523" s="186">
        <v>72358848.890000015</v>
      </c>
      <c r="AJ523" s="184">
        <v>72358848.890000015</v>
      </c>
    </row>
    <row r="524" spans="6:36" hidden="1" x14ac:dyDescent="0.25">
      <c r="F524" s="288">
        <v>44943</v>
      </c>
      <c r="G524" s="286" t="s">
        <v>429</v>
      </c>
      <c r="H524" s="194">
        <f>H525-H523</f>
        <v>201212.43999999762</v>
      </c>
      <c r="K524" s="194"/>
      <c r="L524" s="275"/>
      <c r="M524" s="275"/>
      <c r="N524" s="275"/>
      <c r="AJ524" s="184">
        <v>201212.43999999762</v>
      </c>
    </row>
    <row r="525" spans="6:36" hidden="1" x14ac:dyDescent="0.25">
      <c r="F525" s="288"/>
      <c r="G525" s="276"/>
      <c r="H525" s="186">
        <v>72560061.330000013</v>
      </c>
      <c r="AJ525" s="184">
        <v>72560061.330000013</v>
      </c>
    </row>
    <row r="526" spans="6:36" hidden="1" x14ac:dyDescent="0.25">
      <c r="F526" s="288">
        <v>44951</v>
      </c>
      <c r="G526" s="286" t="s">
        <v>430</v>
      </c>
      <c r="H526" s="194">
        <f>H527-H525</f>
        <v>637606.39999999106</v>
      </c>
      <c r="K526" s="194"/>
      <c r="L526" s="275"/>
      <c r="M526" s="275"/>
      <c r="N526" s="275"/>
      <c r="AJ526" s="184">
        <v>637606.39999999106</v>
      </c>
    </row>
    <row r="527" spans="6:36" hidden="1" x14ac:dyDescent="0.25">
      <c r="F527" s="288"/>
      <c r="G527" s="276"/>
      <c r="H527" s="186">
        <v>73197667.730000004</v>
      </c>
      <c r="AJ527" s="184">
        <v>73197667.730000004</v>
      </c>
    </row>
    <row r="528" spans="6:36" hidden="1" x14ac:dyDescent="0.25">
      <c r="F528" s="288">
        <v>44956</v>
      </c>
      <c r="G528" s="286" t="s">
        <v>431</v>
      </c>
      <c r="H528" s="194">
        <f>H529-H527</f>
        <v>2576</v>
      </c>
      <c r="AJ528" s="184">
        <v>2576</v>
      </c>
    </row>
    <row r="529" spans="6:36" hidden="1" x14ac:dyDescent="0.25">
      <c r="F529" s="288"/>
      <c r="G529" s="276"/>
      <c r="H529" s="186">
        <v>73200243.730000004</v>
      </c>
      <c r="AJ529" s="184">
        <v>73200243.730000004</v>
      </c>
    </row>
    <row r="530" spans="6:36" hidden="1" x14ac:dyDescent="0.25">
      <c r="F530" s="288">
        <v>44963</v>
      </c>
      <c r="G530" s="286" t="s">
        <v>432</v>
      </c>
      <c r="H530" s="194">
        <f>H531-H529</f>
        <v>191564.38000001013</v>
      </c>
      <c r="AJ530" s="184">
        <v>191564.38000001013</v>
      </c>
    </row>
    <row r="531" spans="6:36" hidden="1" x14ac:dyDescent="0.25">
      <c r="F531" s="288"/>
      <c r="G531" s="276"/>
      <c r="H531" s="186">
        <v>73391808.110000014</v>
      </c>
      <c r="AJ531" s="184">
        <v>73391808.110000014</v>
      </c>
    </row>
    <row r="532" spans="6:36" hidden="1" x14ac:dyDescent="0.25">
      <c r="F532" s="288">
        <v>44970</v>
      </c>
      <c r="G532" s="286" t="s">
        <v>433</v>
      </c>
      <c r="H532" s="194">
        <f>H533-H531</f>
        <v>221824.82999999821</v>
      </c>
      <c r="K532" s="194"/>
      <c r="L532" s="275"/>
      <c r="M532" s="275"/>
      <c r="N532" s="275"/>
      <c r="AJ532" s="184">
        <v>221824.82999999821</v>
      </c>
    </row>
    <row r="533" spans="6:36" hidden="1" x14ac:dyDescent="0.25">
      <c r="G533" s="286"/>
      <c r="H533" s="186">
        <v>73613632.940000013</v>
      </c>
      <c r="K533" s="194"/>
      <c r="L533" s="275"/>
      <c r="M533" s="275"/>
      <c r="N533" s="275"/>
      <c r="AJ533" s="184">
        <v>73613632.940000013</v>
      </c>
    </row>
    <row r="534" spans="6:36" hidden="1" x14ac:dyDescent="0.25">
      <c r="F534" s="288">
        <v>44974</v>
      </c>
      <c r="G534" s="286" t="s">
        <v>434</v>
      </c>
      <c r="H534" s="194">
        <f>H535-H533</f>
        <v>158213.20000000298</v>
      </c>
      <c r="K534" s="194"/>
      <c r="L534" s="275"/>
      <c r="M534" s="275"/>
      <c r="N534" s="275"/>
      <c r="AJ534" s="184">
        <v>158213.20000000298</v>
      </c>
    </row>
    <row r="535" spans="6:36" hidden="1" x14ac:dyDescent="0.25">
      <c r="G535" s="286"/>
      <c r="H535" s="186">
        <v>73771846.140000015</v>
      </c>
      <c r="K535" s="194"/>
      <c r="L535" s="275"/>
      <c r="M535" s="275"/>
      <c r="N535" s="275"/>
      <c r="AJ535" s="184">
        <v>73771846.140000015</v>
      </c>
    </row>
    <row r="536" spans="6:36" hidden="1" x14ac:dyDescent="0.25">
      <c r="F536" s="288">
        <v>44981</v>
      </c>
      <c r="G536" s="286" t="s">
        <v>435</v>
      </c>
      <c r="H536" s="194">
        <f>H537-H535</f>
        <v>123059.37999999523</v>
      </c>
      <c r="K536" s="194"/>
      <c r="L536" s="275"/>
      <c r="M536" s="275"/>
      <c r="N536" s="275"/>
      <c r="AJ536" s="184">
        <v>123059.37999999523</v>
      </c>
    </row>
    <row r="537" spans="6:36" hidden="1" x14ac:dyDescent="0.25">
      <c r="G537" s="286"/>
      <c r="H537" s="186">
        <v>73894905.520000011</v>
      </c>
      <c r="K537" s="194"/>
      <c r="L537" s="275"/>
      <c r="M537" s="275"/>
      <c r="N537" s="275"/>
      <c r="AJ537" s="184">
        <v>73894905.520000011</v>
      </c>
    </row>
    <row r="538" spans="6:36" hidden="1" x14ac:dyDescent="0.25">
      <c r="F538" s="288">
        <v>44985</v>
      </c>
      <c r="G538" s="286" t="s">
        <v>436</v>
      </c>
      <c r="H538" s="194">
        <f>H539-H537</f>
        <v>1372104.7599999905</v>
      </c>
      <c r="K538" s="194"/>
      <c r="L538" s="275"/>
      <c r="M538" s="275"/>
      <c r="N538" s="275"/>
      <c r="AJ538" s="184">
        <v>1372104.7599999905</v>
      </c>
    </row>
    <row r="539" spans="6:36" hidden="1" x14ac:dyDescent="0.25">
      <c r="G539" s="286"/>
      <c r="H539" s="186">
        <v>75267010.280000001</v>
      </c>
      <c r="K539" s="194"/>
      <c r="L539" s="275"/>
      <c r="M539" s="275"/>
      <c r="N539" s="275"/>
      <c r="AJ539" s="184">
        <v>75267010.280000001</v>
      </c>
    </row>
    <row r="540" spans="6:36" hidden="1" x14ac:dyDescent="0.25">
      <c r="F540" s="288">
        <v>44985</v>
      </c>
      <c r="G540" s="275" t="s">
        <v>437</v>
      </c>
      <c r="H540" s="194">
        <f>H541-H539</f>
        <v>-6100</v>
      </c>
      <c r="K540" s="194"/>
      <c r="L540" s="275"/>
      <c r="M540" s="275"/>
      <c r="N540" s="275"/>
      <c r="AJ540" s="184">
        <v>-6100</v>
      </c>
    </row>
    <row r="541" spans="6:36" hidden="1" x14ac:dyDescent="0.25">
      <c r="G541" s="291"/>
      <c r="H541" s="190">
        <v>75260910.280000001</v>
      </c>
      <c r="AJ541" s="184">
        <v>75260910.280000001</v>
      </c>
    </row>
    <row r="542" spans="6:36" hidden="1" x14ac:dyDescent="0.25">
      <c r="F542" s="288">
        <v>44991</v>
      </c>
      <c r="G542" s="286" t="s">
        <v>438</v>
      </c>
      <c r="H542" s="194">
        <f>H543-H541</f>
        <v>156097.46000000834</v>
      </c>
      <c r="AJ542" s="184">
        <v>156097.46000000834</v>
      </c>
    </row>
    <row r="543" spans="6:36" hidden="1" x14ac:dyDescent="0.25">
      <c r="G543" s="291"/>
      <c r="H543" s="190">
        <v>75417007.74000001</v>
      </c>
      <c r="AJ543" s="184">
        <v>75417007.74000001</v>
      </c>
    </row>
    <row r="544" spans="6:36" hidden="1" x14ac:dyDescent="0.25">
      <c r="F544" s="288">
        <v>44992</v>
      </c>
      <c r="G544" s="291" t="s">
        <v>439</v>
      </c>
      <c r="H544" s="194">
        <f>H545-H543</f>
        <v>-1012.0300000011921</v>
      </c>
      <c r="AJ544" s="184">
        <v>-1012.0300000011921</v>
      </c>
    </row>
    <row r="545" spans="6:36" x14ac:dyDescent="0.25">
      <c r="G545" s="291"/>
      <c r="H545" s="190">
        <v>75415995.710000008</v>
      </c>
      <c r="AJ545" s="184">
        <v>75415995.710000008</v>
      </c>
    </row>
    <row r="546" spans="6:36" x14ac:dyDescent="0.25">
      <c r="F546" s="288">
        <v>44992</v>
      </c>
      <c r="G546" s="286" t="s">
        <v>440</v>
      </c>
      <c r="H546" s="194">
        <f>H547-H545</f>
        <v>1012.0300000011921</v>
      </c>
      <c r="AJ546" s="184">
        <v>1012.0300000011921</v>
      </c>
    </row>
    <row r="547" spans="6:36" x14ac:dyDescent="0.25">
      <c r="F547" s="288"/>
      <c r="G547" s="286"/>
      <c r="H547" s="190">
        <v>75417007.74000001</v>
      </c>
      <c r="AJ547" s="184">
        <v>75417007.74000001</v>
      </c>
    </row>
    <row r="548" spans="6:36" x14ac:dyDescent="0.25">
      <c r="F548" s="288">
        <v>44998</v>
      </c>
      <c r="G548" s="286" t="s">
        <v>441</v>
      </c>
      <c r="H548" s="194">
        <f>H549-H547</f>
        <v>485387.75</v>
      </c>
      <c r="AJ548" s="184">
        <v>485384.75</v>
      </c>
    </row>
    <row r="549" spans="6:36" x14ac:dyDescent="0.25">
      <c r="F549" s="288"/>
      <c r="G549" s="286"/>
      <c r="H549" s="190">
        <v>75902395.49000001</v>
      </c>
      <c r="AJ549" s="184">
        <v>75902392.49000001</v>
      </c>
    </row>
    <row r="550" spans="6:36" x14ac:dyDescent="0.25">
      <c r="F550" s="288">
        <v>45002</v>
      </c>
      <c r="G550" s="286" t="s">
        <v>442</v>
      </c>
      <c r="H550" s="194">
        <f>H551-H549</f>
        <v>32475.95000000298</v>
      </c>
    </row>
    <row r="551" spans="6:36" x14ac:dyDescent="0.25">
      <c r="F551" s="288"/>
      <c r="G551" s="286"/>
      <c r="H551" s="190">
        <v>75934871.440000013</v>
      </c>
    </row>
    <row r="552" spans="6:36" x14ac:dyDescent="0.25">
      <c r="F552" s="288">
        <v>45012</v>
      </c>
      <c r="G552" s="286" t="s">
        <v>443</v>
      </c>
      <c r="H552" s="194">
        <f>H553-H551</f>
        <v>1046761.7499999851</v>
      </c>
    </row>
    <row r="553" spans="6:36" x14ac:dyDescent="0.25">
      <c r="F553" s="288"/>
      <c r="G553" s="286"/>
      <c r="H553" s="190">
        <v>76981633.189999998</v>
      </c>
    </row>
    <row r="554" spans="6:36" x14ac:dyDescent="0.25">
      <c r="F554" s="288">
        <v>45036</v>
      </c>
      <c r="G554" s="286" t="s">
        <v>444</v>
      </c>
      <c r="H554" s="194">
        <f>H555-H553</f>
        <v>104233.43000000715</v>
      </c>
    </row>
    <row r="555" spans="6:36" x14ac:dyDescent="0.25">
      <c r="G555" s="291"/>
      <c r="H555" s="190">
        <v>77085866.620000005</v>
      </c>
    </row>
    <row r="556" spans="6:36" x14ac:dyDescent="0.25">
      <c r="F556" s="288">
        <v>45064</v>
      </c>
      <c r="G556" s="286" t="s">
        <v>445</v>
      </c>
      <c r="H556" s="194">
        <f>H557-H555</f>
        <v>1287764.2600000054</v>
      </c>
      <c r="K556" s="194"/>
      <c r="L556" s="275"/>
      <c r="M556" s="275"/>
      <c r="N556" s="275"/>
      <c r="AJ556" s="184">
        <v>1079240.6999999955</v>
      </c>
    </row>
    <row r="557" spans="6:36" x14ac:dyDescent="0.25">
      <c r="G557" s="184"/>
      <c r="H557" s="189">
        <v>78373630.88000001</v>
      </c>
      <c r="I557" s="191"/>
      <c r="J557" s="191"/>
      <c r="K557" s="191"/>
    </row>
    <row r="558" spans="6:36" x14ac:dyDescent="0.25">
      <c r="F558" s="288">
        <v>45071</v>
      </c>
      <c r="G558" s="286" t="s">
        <v>446</v>
      </c>
      <c r="H558" s="194">
        <f>H559-H557</f>
        <v>51221.820000007749</v>
      </c>
      <c r="I558" s="191"/>
      <c r="J558" s="191"/>
      <c r="K558" s="194"/>
      <c r="L558" s="275"/>
      <c r="M558" s="275"/>
      <c r="N558" s="275"/>
    </row>
    <row r="559" spans="6:36" x14ac:dyDescent="0.25">
      <c r="H559" s="292">
        <v>78424852.700000018</v>
      </c>
      <c r="I559" s="191"/>
      <c r="J559" s="191"/>
      <c r="K559" s="191"/>
    </row>
    <row r="560" spans="6:36" x14ac:dyDescent="0.25">
      <c r="F560" s="288">
        <v>45083</v>
      </c>
      <c r="G560" s="286" t="s">
        <v>447</v>
      </c>
      <c r="H560" s="194">
        <f>H561-H559</f>
        <v>3261405.4099999964</v>
      </c>
      <c r="K560" s="194"/>
      <c r="L560" s="275"/>
      <c r="M560" s="275"/>
      <c r="N560" s="275"/>
    </row>
    <row r="561" spans="6:14" x14ac:dyDescent="0.25">
      <c r="G561" s="293"/>
      <c r="H561" s="194">
        <v>81686258.110000014</v>
      </c>
    </row>
    <row r="562" spans="6:14" x14ac:dyDescent="0.25">
      <c r="F562" s="288">
        <v>45089</v>
      </c>
      <c r="G562" s="286" t="s">
        <v>448</v>
      </c>
      <c r="H562" s="194">
        <f>H563-H561</f>
        <v>2023124.599999994</v>
      </c>
    </row>
    <row r="563" spans="6:14" x14ac:dyDescent="0.25">
      <c r="G563" s="293"/>
      <c r="H563" s="194">
        <v>83709382.710000008</v>
      </c>
    </row>
    <row r="564" spans="6:14" x14ac:dyDescent="0.25">
      <c r="F564" s="288">
        <v>45099</v>
      </c>
      <c r="G564" s="286" t="s">
        <v>449</v>
      </c>
      <c r="H564" s="194">
        <f>H565-H563</f>
        <v>1487245.1300000101</v>
      </c>
    </row>
    <row r="565" spans="6:14" x14ac:dyDescent="0.25">
      <c r="G565" s="293"/>
      <c r="H565" s="194">
        <v>85196627.840000018</v>
      </c>
    </row>
    <row r="566" spans="6:14" x14ac:dyDescent="0.25">
      <c r="F566" s="288">
        <v>45114</v>
      </c>
      <c r="G566" s="286" t="s">
        <v>450</v>
      </c>
      <c r="H566" s="194">
        <f>H567-H565</f>
        <v>1327161.0199999958</v>
      </c>
    </row>
    <row r="567" spans="6:14" x14ac:dyDescent="0.25">
      <c r="G567" s="293"/>
      <c r="H567" s="194">
        <v>86523788.860000014</v>
      </c>
    </row>
    <row r="568" spans="6:14" x14ac:dyDescent="0.25">
      <c r="F568" s="288">
        <v>45125</v>
      </c>
      <c r="G568" s="293" t="s">
        <v>451</v>
      </c>
      <c r="H568" s="194">
        <f>H569-H567</f>
        <v>950516.68000000715</v>
      </c>
    </row>
    <row r="569" spans="6:14" x14ac:dyDescent="0.25">
      <c r="G569" s="294"/>
      <c r="H569" s="185">
        <v>87474305.540000021</v>
      </c>
      <c r="K569" s="194"/>
      <c r="L569" s="275"/>
      <c r="M569" s="275"/>
      <c r="N569" s="275"/>
    </row>
    <row r="570" spans="6:14" x14ac:dyDescent="0.25">
      <c r="F570" s="288">
        <v>45127</v>
      </c>
      <c r="G570" s="293" t="s">
        <v>452</v>
      </c>
      <c r="H570" s="194">
        <f>H571-H569</f>
        <v>25155.279999986291</v>
      </c>
      <c r="J570" s="295"/>
      <c r="K570" s="194"/>
      <c r="L570" s="275"/>
      <c r="M570" s="275"/>
      <c r="N570" s="275"/>
    </row>
    <row r="571" spans="6:14" x14ac:dyDescent="0.25">
      <c r="G571" s="294"/>
      <c r="H571" s="296">
        <v>87499460.820000008</v>
      </c>
      <c r="J571" s="296"/>
      <c r="K571" s="194"/>
      <c r="L571" s="275"/>
      <c r="M571" s="275"/>
      <c r="N571" s="275"/>
    </row>
    <row r="572" spans="6:14" x14ac:dyDescent="0.25">
      <c r="F572" s="288">
        <v>45142</v>
      </c>
      <c r="G572" s="293" t="s">
        <v>493</v>
      </c>
      <c r="H572" s="194">
        <f>H573-H571</f>
        <v>2177558.8700000048</v>
      </c>
      <c r="J572" s="297"/>
      <c r="K572" s="194"/>
      <c r="L572" s="275"/>
      <c r="M572" s="275"/>
      <c r="N572" s="275"/>
    </row>
    <row r="573" spans="6:14" x14ac:dyDescent="0.25">
      <c r="G573" s="294"/>
      <c r="H573" s="194">
        <v>89677019.690000013</v>
      </c>
      <c r="K573" s="194"/>
      <c r="L573" s="275"/>
      <c r="M573" s="275"/>
      <c r="N573" s="275"/>
    </row>
    <row r="574" spans="6:14" x14ac:dyDescent="0.25">
      <c r="F574" s="288">
        <v>45149</v>
      </c>
      <c r="G574" s="335" t="s">
        <v>494</v>
      </c>
      <c r="H574" s="194">
        <f>H575-H573</f>
        <v>-48507.869999989867</v>
      </c>
      <c r="J574" s="186" t="s">
        <v>495</v>
      </c>
      <c r="K574" s="194"/>
      <c r="L574" s="275"/>
      <c r="M574" s="275"/>
      <c r="N574" s="275"/>
    </row>
    <row r="575" spans="6:14" x14ac:dyDescent="0.25">
      <c r="G575" s="294"/>
      <c r="H575" s="194">
        <v>89628511.820000023</v>
      </c>
      <c r="K575" s="194"/>
      <c r="L575" s="275"/>
      <c r="M575" s="275"/>
      <c r="N575" s="275"/>
    </row>
    <row r="576" spans="6:14" x14ac:dyDescent="0.25">
      <c r="F576" s="288">
        <v>45152</v>
      </c>
      <c r="G576" s="293" t="s">
        <v>496</v>
      </c>
      <c r="H576" s="194">
        <f>H577-H575</f>
        <v>48507.869999989867</v>
      </c>
      <c r="J576" s="185" t="s">
        <v>497</v>
      </c>
    </row>
    <row r="577" spans="2:14" x14ac:dyDescent="0.25">
      <c r="H577" s="186">
        <v>89677019.690000013</v>
      </c>
      <c r="K577" s="194"/>
      <c r="L577" s="275"/>
      <c r="M577" s="275"/>
      <c r="N577" s="275"/>
    </row>
    <row r="578" spans="2:14" x14ac:dyDescent="0.25">
      <c r="F578" s="288">
        <v>45152</v>
      </c>
      <c r="G578" s="293" t="s">
        <v>498</v>
      </c>
      <c r="H578" s="194">
        <f>H579-H577</f>
        <v>806749.12000000477</v>
      </c>
    </row>
    <row r="579" spans="2:14" x14ac:dyDescent="0.25">
      <c r="H579" s="186">
        <v>90483768.810000017</v>
      </c>
      <c r="K579" s="194"/>
      <c r="L579" s="287"/>
      <c r="M579" s="287"/>
      <c r="N579" s="287"/>
    </row>
    <row r="581" spans="2:14" x14ac:dyDescent="0.25">
      <c r="K581" s="194"/>
      <c r="L581" s="275"/>
      <c r="M581" s="275"/>
      <c r="N581" s="275"/>
    </row>
    <row r="582" spans="2:14" x14ac:dyDescent="0.25">
      <c r="F582" s="299"/>
      <c r="G582" s="276"/>
    </row>
    <row r="583" spans="2:14" hidden="1" x14ac:dyDescent="0.25">
      <c r="B583" s="300" t="s">
        <v>457</v>
      </c>
      <c r="C583" s="301"/>
      <c r="F583" s="299"/>
      <c r="G583" s="276"/>
      <c r="K583" s="194"/>
      <c r="L583" s="275"/>
      <c r="M583" s="275"/>
      <c r="N583" s="275"/>
    </row>
    <row r="584" spans="2:14" hidden="1" x14ac:dyDescent="0.25">
      <c r="B584" s="302" t="s">
        <v>458</v>
      </c>
      <c r="C584" s="303">
        <f>L438</f>
        <v>257575175.34699994</v>
      </c>
      <c r="F584" s="299"/>
      <c r="G584" s="276"/>
    </row>
    <row r="585" spans="2:14" hidden="1" x14ac:dyDescent="0.25">
      <c r="B585" s="302" t="s">
        <v>459</v>
      </c>
      <c r="C585" s="304">
        <v>222960077.53999999</v>
      </c>
      <c r="G585" s="276"/>
      <c r="K585" s="194"/>
      <c r="L585" s="275"/>
      <c r="M585" s="275"/>
      <c r="N585" s="275"/>
    </row>
    <row r="586" spans="2:14" hidden="1" x14ac:dyDescent="0.25">
      <c r="B586" s="302" t="s">
        <v>460</v>
      </c>
      <c r="C586" s="305">
        <f>H556+H558</f>
        <v>1338986.0800000131</v>
      </c>
      <c r="G586" s="276"/>
    </row>
    <row r="587" spans="2:14" hidden="1" x14ac:dyDescent="0.25">
      <c r="B587" s="302" t="s">
        <v>461</v>
      </c>
      <c r="C587" s="185">
        <f>C585-C586-C584</f>
        <v>-35954083.886999965</v>
      </c>
      <c r="G587" s="276"/>
      <c r="K587" s="194"/>
      <c r="L587" s="275"/>
      <c r="M587" s="275"/>
      <c r="N587" s="275"/>
    </row>
    <row r="588" spans="2:14" hidden="1" x14ac:dyDescent="0.25">
      <c r="B588" s="306"/>
      <c r="C588" s="307"/>
      <c r="G588" s="276"/>
      <c r="K588" s="225"/>
    </row>
    <row r="589" spans="2:14" hidden="1" x14ac:dyDescent="0.25">
      <c r="B589" s="306"/>
      <c r="C589" s="305"/>
      <c r="G589" s="276"/>
      <c r="K589" s="194"/>
      <c r="L589" s="275"/>
      <c r="M589" s="275"/>
      <c r="N589" s="275"/>
    </row>
    <row r="590" spans="2:14" hidden="1" x14ac:dyDescent="0.25">
      <c r="B590" s="306"/>
      <c r="C590" s="305"/>
      <c r="L590" s="287"/>
      <c r="M590" s="287"/>
      <c r="N590" s="287"/>
    </row>
    <row r="591" spans="2:14" hidden="1" x14ac:dyDescent="0.25">
      <c r="B591" s="306" t="s">
        <v>462</v>
      </c>
      <c r="C591" s="305">
        <f>78424852.7-324504.25</f>
        <v>78100348.450000003</v>
      </c>
      <c r="K591" s="194"/>
      <c r="L591" s="275"/>
      <c r="M591" s="275"/>
      <c r="N591" s="275"/>
    </row>
    <row r="592" spans="2:14" hidden="1" x14ac:dyDescent="0.25">
      <c r="B592" s="306" t="s">
        <v>463</v>
      </c>
      <c r="C592" s="305">
        <f>34060851.92+42700510.45</f>
        <v>76761362.370000005</v>
      </c>
      <c r="L592" s="287"/>
      <c r="M592" s="287"/>
      <c r="N592" s="287"/>
    </row>
    <row r="593" spans="2:15" hidden="1" x14ac:dyDescent="0.25">
      <c r="B593" s="306" t="s">
        <v>464</v>
      </c>
      <c r="C593" s="305">
        <f>C591-C592</f>
        <v>1338986.0799999982</v>
      </c>
      <c r="K593" s="194"/>
      <c r="L593" s="275"/>
      <c r="M593" s="275"/>
      <c r="N593" s="275"/>
    </row>
    <row r="594" spans="2:15" ht="13.8" hidden="1" thickBot="1" x14ac:dyDescent="0.3">
      <c r="B594" s="308" t="s">
        <v>465</v>
      </c>
      <c r="C594" s="309">
        <f>C593-C586</f>
        <v>-1.4901161193847656E-8</v>
      </c>
      <c r="L594" s="287"/>
      <c r="M594" s="287"/>
      <c r="N594" s="287"/>
    </row>
    <row r="595" spans="2:15" x14ac:dyDescent="0.25">
      <c r="K595" s="194"/>
      <c r="L595" s="275"/>
      <c r="M595" s="275"/>
      <c r="N595" s="275"/>
    </row>
    <row r="596" spans="2:15" x14ac:dyDescent="0.25">
      <c r="L596" s="287"/>
      <c r="M596" s="287"/>
      <c r="N596" s="287"/>
    </row>
    <row r="597" spans="2:15" x14ac:dyDescent="0.25">
      <c r="K597" s="194"/>
      <c r="L597" s="275"/>
      <c r="M597" s="275"/>
      <c r="N597" s="275"/>
    </row>
    <row r="598" spans="2:15" x14ac:dyDescent="0.25">
      <c r="F598" s="286" t="s">
        <v>453</v>
      </c>
      <c r="G598" s="185"/>
      <c r="H598" s="287"/>
      <c r="L598" s="287"/>
      <c r="M598" s="287"/>
      <c r="N598" s="287"/>
    </row>
    <row r="599" spans="2:15" x14ac:dyDescent="0.25">
      <c r="F599" s="185">
        <f>C440</f>
        <v>24993238.439999998</v>
      </c>
      <c r="G599" s="185"/>
      <c r="H599" s="287"/>
      <c r="K599" s="194"/>
      <c r="L599" s="275"/>
      <c r="M599" s="275"/>
      <c r="N599" s="275"/>
    </row>
    <row r="600" spans="2:15" x14ac:dyDescent="0.25">
      <c r="F600" s="185"/>
      <c r="G600" s="185"/>
      <c r="H600" s="287"/>
      <c r="L600" s="287"/>
      <c r="M600" s="287"/>
      <c r="N600" s="287"/>
    </row>
    <row r="601" spans="2:15" x14ac:dyDescent="0.25">
      <c r="F601" s="298" t="s">
        <v>454</v>
      </c>
      <c r="G601" s="276"/>
      <c r="K601" s="194"/>
      <c r="L601" s="275"/>
      <c r="M601" s="275"/>
      <c r="N601" s="275"/>
    </row>
    <row r="602" spans="2:15" x14ac:dyDescent="0.25">
      <c r="F602" s="299" t="s">
        <v>455</v>
      </c>
      <c r="G602" s="276"/>
      <c r="L602" s="287"/>
      <c r="M602" s="287"/>
      <c r="N602" s="287"/>
    </row>
    <row r="603" spans="2:15" x14ac:dyDescent="0.25">
      <c r="F603" s="299" t="s">
        <v>456</v>
      </c>
      <c r="G603" s="276"/>
      <c r="K603" s="194"/>
      <c r="L603" s="275"/>
      <c r="M603" s="275"/>
      <c r="N603" s="275"/>
    </row>
    <row r="604" spans="2:15" x14ac:dyDescent="0.25">
      <c r="J604" s="186"/>
      <c r="L604" s="287"/>
      <c r="M604" s="287"/>
      <c r="N604" s="287"/>
    </row>
    <row r="605" spans="2:15" x14ac:dyDescent="0.25">
      <c r="J605" s="186"/>
      <c r="K605" s="194"/>
      <c r="L605" s="275"/>
      <c r="M605" s="275"/>
      <c r="N605" s="275"/>
      <c r="O605" s="287"/>
    </row>
    <row r="606" spans="2:15" x14ac:dyDescent="0.25">
      <c r="J606" s="186"/>
      <c r="L606" s="287"/>
      <c r="M606" s="287"/>
      <c r="N606" s="287"/>
      <c r="O606" s="287"/>
    </row>
    <row r="607" spans="2:15" x14ac:dyDescent="0.25">
      <c r="K607" s="186"/>
      <c r="L607" s="275"/>
      <c r="M607" s="275"/>
      <c r="N607" s="275"/>
      <c r="O607" s="287"/>
    </row>
    <row r="608" spans="2:15" x14ac:dyDescent="0.25">
      <c r="J608" s="186"/>
      <c r="K608" s="186"/>
      <c r="L608" s="287"/>
      <c r="M608" s="287"/>
      <c r="N608" s="287"/>
      <c r="O608" s="287"/>
    </row>
    <row r="609" spans="10:15" x14ac:dyDescent="0.25">
      <c r="J609" s="186"/>
      <c r="K609" s="194"/>
      <c r="L609" s="275"/>
      <c r="M609" s="275"/>
      <c r="N609" s="275"/>
      <c r="O609" s="287"/>
    </row>
    <row r="610" spans="10:15" x14ac:dyDescent="0.25">
      <c r="L610" s="287"/>
      <c r="M610" s="287"/>
      <c r="N610" s="287"/>
      <c r="O610" s="287"/>
    </row>
    <row r="611" spans="10:15" x14ac:dyDescent="0.25">
      <c r="L611" s="287"/>
      <c r="M611" s="287"/>
      <c r="N611" s="287"/>
      <c r="O611" s="287"/>
    </row>
    <row r="612" spans="10:15" x14ac:dyDescent="0.25">
      <c r="L612" s="287"/>
      <c r="M612" s="287"/>
      <c r="N612" s="287"/>
      <c r="O612" s="287"/>
    </row>
    <row r="613" spans="10:15" x14ac:dyDescent="0.25">
      <c r="J613" s="186"/>
      <c r="L613" s="287"/>
      <c r="M613" s="287"/>
      <c r="N613" s="287"/>
      <c r="O613" s="287"/>
    </row>
    <row r="614" spans="10:15" x14ac:dyDescent="0.25">
      <c r="L614" s="287"/>
      <c r="M614" s="287"/>
      <c r="N614" s="287"/>
      <c r="O614" s="287"/>
    </row>
    <row r="615" spans="10:15" x14ac:dyDescent="0.25">
      <c r="L615" s="287"/>
      <c r="M615" s="287"/>
      <c r="N615" s="287"/>
      <c r="O615" s="287"/>
    </row>
    <row r="616" spans="10:15" x14ac:dyDescent="0.25">
      <c r="K616" s="194"/>
      <c r="L616" s="287"/>
      <c r="M616" s="287"/>
      <c r="N616" s="287"/>
      <c r="O616" s="287"/>
    </row>
    <row r="617" spans="10:15" x14ac:dyDescent="0.25">
      <c r="L617" s="287"/>
      <c r="M617" s="287"/>
      <c r="N617" s="287"/>
    </row>
    <row r="618" spans="10:15" x14ac:dyDescent="0.25">
      <c r="K618" s="194"/>
      <c r="L618" s="287"/>
      <c r="M618" s="287"/>
      <c r="N618" s="287"/>
      <c r="O618" s="287"/>
    </row>
    <row r="619" spans="10:15" x14ac:dyDescent="0.25">
      <c r="L619" s="287"/>
      <c r="M619" s="287"/>
      <c r="N619" s="287"/>
    </row>
    <row r="620" spans="10:15" x14ac:dyDescent="0.25">
      <c r="K620" s="194"/>
      <c r="L620" s="287"/>
      <c r="M620" s="287"/>
      <c r="N620" s="287"/>
      <c r="O620" s="276"/>
    </row>
    <row r="621" spans="10:15" x14ac:dyDescent="0.25">
      <c r="L621" s="287"/>
      <c r="M621" s="287"/>
      <c r="N621" s="287"/>
    </row>
    <row r="622" spans="10:15" x14ac:dyDescent="0.25">
      <c r="K622" s="194"/>
      <c r="L622" s="275"/>
      <c r="M622" s="275"/>
      <c r="N622" s="275"/>
      <c r="O622" s="276"/>
    </row>
    <row r="623" spans="10:15" x14ac:dyDescent="0.25">
      <c r="L623" s="287"/>
      <c r="M623" s="287"/>
      <c r="N623" s="287"/>
    </row>
    <row r="624" spans="10:15" x14ac:dyDescent="0.25">
      <c r="K624" s="194"/>
      <c r="L624" s="287"/>
      <c r="M624" s="287"/>
      <c r="N624" s="287"/>
      <c r="O624" s="276"/>
    </row>
    <row r="625" spans="11:15" x14ac:dyDescent="0.25">
      <c r="L625" s="287"/>
      <c r="M625" s="287"/>
      <c r="N625" s="287"/>
    </row>
    <row r="626" spans="11:15" x14ac:dyDescent="0.25">
      <c r="K626" s="194"/>
      <c r="L626" s="275"/>
      <c r="M626" s="275"/>
      <c r="N626" s="275"/>
      <c r="O626" s="276"/>
    </row>
    <row r="627" spans="11:15" x14ac:dyDescent="0.25">
      <c r="L627" s="287"/>
      <c r="M627" s="287"/>
      <c r="N627" s="287"/>
    </row>
    <row r="628" spans="11:15" x14ac:dyDescent="0.25">
      <c r="K628" s="194"/>
      <c r="L628" s="287"/>
      <c r="M628" s="287"/>
      <c r="N628" s="287"/>
    </row>
    <row r="629" spans="11:15" x14ac:dyDescent="0.25">
      <c r="L629" s="287"/>
      <c r="M629" s="287"/>
      <c r="N629" s="287"/>
    </row>
    <row r="630" spans="11:15" x14ac:dyDescent="0.25">
      <c r="K630" s="194"/>
      <c r="L630" s="287"/>
      <c r="M630" s="287"/>
      <c r="N630" s="287"/>
    </row>
    <row r="631" spans="11:15" x14ac:dyDescent="0.25">
      <c r="L631" s="287"/>
      <c r="M631" s="287"/>
      <c r="N631" s="287"/>
    </row>
    <row r="632" spans="11:15" x14ac:dyDescent="0.25">
      <c r="K632" s="194"/>
      <c r="L632" s="287"/>
      <c r="M632" s="287"/>
      <c r="N632" s="287"/>
      <c r="O632" s="269"/>
    </row>
    <row r="633" spans="11:15" x14ac:dyDescent="0.25">
      <c r="L633" s="287"/>
      <c r="M633" s="287"/>
      <c r="N633" s="287"/>
    </row>
    <row r="634" spans="11:15" x14ac:dyDescent="0.25">
      <c r="K634" s="194"/>
      <c r="L634" s="275"/>
      <c r="M634" s="275"/>
      <c r="N634" s="275"/>
      <c r="O634" s="194"/>
    </row>
    <row r="635" spans="11:15" x14ac:dyDescent="0.25">
      <c r="L635" s="287"/>
      <c r="M635" s="287"/>
      <c r="N635" s="287"/>
      <c r="O635" s="185"/>
    </row>
    <row r="636" spans="11:15" x14ac:dyDescent="0.25">
      <c r="K636" s="194"/>
      <c r="L636" s="275"/>
      <c r="M636" s="275"/>
      <c r="N636" s="275"/>
      <c r="O636" s="194"/>
    </row>
    <row r="637" spans="11:15" x14ac:dyDescent="0.25">
      <c r="L637" s="287"/>
      <c r="M637" s="287"/>
      <c r="N637" s="287"/>
      <c r="O637" s="185"/>
    </row>
    <row r="638" spans="11:15" x14ac:dyDescent="0.25">
      <c r="K638" s="194"/>
      <c r="L638" s="275"/>
      <c r="M638" s="275"/>
      <c r="N638" s="275"/>
      <c r="O638" s="194"/>
    </row>
    <row r="639" spans="11:15" x14ac:dyDescent="0.25">
      <c r="O639" s="185"/>
    </row>
    <row r="640" spans="11:15" x14ac:dyDescent="0.25">
      <c r="L640" s="287"/>
      <c r="M640" s="287"/>
      <c r="N640" s="287"/>
    </row>
    <row r="641" spans="12:14" x14ac:dyDescent="0.25">
      <c r="L641" s="287"/>
      <c r="M641" s="287"/>
      <c r="N641" s="287"/>
    </row>
    <row r="642" spans="12:14" x14ac:dyDescent="0.25">
      <c r="L642" s="287"/>
      <c r="M642" s="287"/>
      <c r="N642" s="287"/>
    </row>
    <row r="643" spans="12:14" x14ac:dyDescent="0.25">
      <c r="L643" s="287"/>
      <c r="M643" s="287"/>
      <c r="N643" s="287"/>
    </row>
    <row r="644" spans="12:14" x14ac:dyDescent="0.25">
      <c r="L644" s="287"/>
      <c r="M644" s="287"/>
      <c r="N644" s="287"/>
    </row>
    <row r="645" spans="12:14" x14ac:dyDescent="0.25">
      <c r="L645" s="287"/>
      <c r="M645" s="287"/>
      <c r="N645" s="287"/>
    </row>
    <row r="646" spans="12:14" x14ac:dyDescent="0.25">
      <c r="L646" s="287"/>
      <c r="M646" s="287"/>
      <c r="N646" s="287"/>
    </row>
    <row r="647" spans="12:14" x14ac:dyDescent="0.25">
      <c r="L647" s="287"/>
      <c r="M647" s="287"/>
      <c r="N647" s="287"/>
    </row>
    <row r="648" spans="12:14" x14ac:dyDescent="0.25">
      <c r="L648" s="287"/>
      <c r="M648" s="287"/>
      <c r="N648" s="287"/>
    </row>
    <row r="649" spans="12:14" x14ac:dyDescent="0.25">
      <c r="L649" s="287"/>
      <c r="M649" s="287"/>
      <c r="N649" s="287"/>
    </row>
    <row r="650" spans="12:14" x14ac:dyDescent="0.25">
      <c r="L650" s="287"/>
      <c r="M650" s="287"/>
      <c r="N650" s="287"/>
    </row>
    <row r="651" spans="12:14" x14ac:dyDescent="0.25">
      <c r="L651" s="287"/>
      <c r="M651" s="287"/>
      <c r="N651" s="287"/>
    </row>
    <row r="652" spans="12:14" x14ac:dyDescent="0.25">
      <c r="L652" s="287"/>
      <c r="M652" s="287"/>
      <c r="N652" s="287"/>
    </row>
    <row r="653" spans="12:14" x14ac:dyDescent="0.25">
      <c r="L653" s="287"/>
      <c r="M653" s="287"/>
      <c r="N653" s="287"/>
    </row>
    <row r="654" spans="12:14" x14ac:dyDescent="0.25">
      <c r="L654" s="287"/>
      <c r="M654" s="287"/>
      <c r="N654" s="287"/>
    </row>
    <row r="655" spans="12:14" x14ac:dyDescent="0.25">
      <c r="L655" s="287"/>
      <c r="M655" s="287"/>
      <c r="N655" s="287"/>
    </row>
    <row r="656" spans="12:14" x14ac:dyDescent="0.25">
      <c r="L656" s="287"/>
      <c r="M656" s="287"/>
      <c r="N656" s="287"/>
    </row>
    <row r="657" spans="12:14" x14ac:dyDescent="0.25">
      <c r="L657" s="287"/>
      <c r="M657" s="287"/>
      <c r="N657" s="287"/>
    </row>
    <row r="658" spans="12:14" x14ac:dyDescent="0.25">
      <c r="L658" s="287"/>
      <c r="M658" s="287"/>
      <c r="N658" s="287"/>
    </row>
    <row r="659" spans="12:14" x14ac:dyDescent="0.25">
      <c r="L659" s="287"/>
      <c r="M659" s="287"/>
      <c r="N659" s="287"/>
    </row>
    <row r="660" spans="12:14" x14ac:dyDescent="0.25">
      <c r="L660" s="287"/>
      <c r="M660" s="287"/>
      <c r="N660" s="287"/>
    </row>
    <row r="661" spans="12:14" x14ac:dyDescent="0.25">
      <c r="L661" s="287"/>
      <c r="M661" s="287"/>
      <c r="N661" s="287"/>
    </row>
    <row r="662" spans="12:14" x14ac:dyDescent="0.25">
      <c r="L662" s="287"/>
      <c r="M662" s="287"/>
      <c r="N662" s="287"/>
    </row>
    <row r="663" spans="12:14" x14ac:dyDescent="0.25">
      <c r="L663" s="287"/>
      <c r="M663" s="287"/>
      <c r="N663" s="287"/>
    </row>
    <row r="664" spans="12:14" x14ac:dyDescent="0.25">
      <c r="L664" s="287"/>
      <c r="M664" s="287"/>
      <c r="N664" s="287"/>
    </row>
    <row r="665" spans="12:14" x14ac:dyDescent="0.25">
      <c r="L665" s="287"/>
      <c r="M665" s="287"/>
      <c r="N665" s="287"/>
    </row>
    <row r="666" spans="12:14" x14ac:dyDescent="0.25">
      <c r="L666" s="287"/>
      <c r="M666" s="287"/>
      <c r="N666" s="287"/>
    </row>
    <row r="667" spans="12:14" x14ac:dyDescent="0.25">
      <c r="L667" s="287"/>
      <c r="M667" s="287"/>
      <c r="N667" s="287"/>
    </row>
    <row r="668" spans="12:14" x14ac:dyDescent="0.25">
      <c r="L668" s="287"/>
      <c r="M668" s="287"/>
      <c r="N668" s="287"/>
    </row>
    <row r="669" spans="12:14" x14ac:dyDescent="0.25">
      <c r="L669" s="287"/>
      <c r="M669" s="287"/>
      <c r="N669" s="287"/>
    </row>
    <row r="670" spans="12:14" x14ac:dyDescent="0.25">
      <c r="L670" s="287"/>
      <c r="M670" s="287"/>
      <c r="N670" s="287"/>
    </row>
    <row r="671" spans="12:14" x14ac:dyDescent="0.25">
      <c r="L671" s="287"/>
      <c r="M671" s="287"/>
      <c r="N671" s="287"/>
    </row>
    <row r="672" spans="12:14" x14ac:dyDescent="0.25">
      <c r="L672" s="287"/>
      <c r="M672" s="287"/>
      <c r="N672" s="287"/>
    </row>
    <row r="673" spans="12:14" x14ac:dyDescent="0.25">
      <c r="L673" s="287"/>
      <c r="M673" s="287"/>
      <c r="N673" s="287"/>
    </row>
    <row r="674" spans="12:14" x14ac:dyDescent="0.25">
      <c r="L674" s="287"/>
      <c r="M674" s="287"/>
      <c r="N674" s="287"/>
    </row>
    <row r="675" spans="12:14" x14ac:dyDescent="0.25">
      <c r="L675" s="287"/>
      <c r="M675" s="287"/>
      <c r="N675" s="287"/>
    </row>
    <row r="676" spans="12:14" x14ac:dyDescent="0.25">
      <c r="L676" s="287"/>
      <c r="M676" s="287"/>
      <c r="N676" s="287"/>
    </row>
    <row r="677" spans="12:14" x14ac:dyDescent="0.25">
      <c r="L677" s="287"/>
      <c r="M677" s="287"/>
      <c r="N677" s="287"/>
    </row>
    <row r="678" spans="12:14" x14ac:dyDescent="0.25">
      <c r="L678" s="287"/>
      <c r="M678" s="287"/>
      <c r="N678" s="287"/>
    </row>
    <row r="679" spans="12:14" x14ac:dyDescent="0.25">
      <c r="L679" s="287"/>
      <c r="M679" s="287"/>
      <c r="N679" s="287"/>
    </row>
    <row r="680" spans="12:14" x14ac:dyDescent="0.25">
      <c r="L680" s="287"/>
      <c r="M680" s="287"/>
      <c r="N680" s="287"/>
    </row>
    <row r="681" spans="12:14" x14ac:dyDescent="0.25">
      <c r="L681" s="287"/>
      <c r="M681" s="287"/>
      <c r="N681" s="287"/>
    </row>
    <row r="682" spans="12:14" x14ac:dyDescent="0.25">
      <c r="L682" s="287"/>
      <c r="M682" s="287"/>
      <c r="N682" s="287"/>
    </row>
    <row r="683" spans="12:14" x14ac:dyDescent="0.25">
      <c r="L683" s="287"/>
      <c r="M683" s="287"/>
      <c r="N683" s="287"/>
    </row>
    <row r="684" spans="12:14" x14ac:dyDescent="0.25">
      <c r="L684" s="287"/>
      <c r="M684" s="287"/>
      <c r="N684" s="287"/>
    </row>
    <row r="685" spans="12:14" x14ac:dyDescent="0.25">
      <c r="L685" s="287"/>
      <c r="M685" s="287"/>
      <c r="N685" s="287"/>
    </row>
    <row r="686" spans="12:14" x14ac:dyDescent="0.25">
      <c r="L686" s="287"/>
      <c r="M686" s="287"/>
      <c r="N686" s="287"/>
    </row>
    <row r="687" spans="12:14" x14ac:dyDescent="0.25">
      <c r="L687" s="287"/>
      <c r="M687" s="287"/>
      <c r="N687" s="287"/>
    </row>
    <row r="688" spans="12:14" x14ac:dyDescent="0.25">
      <c r="L688" s="287"/>
      <c r="M688" s="287"/>
      <c r="N688" s="287"/>
    </row>
    <row r="689" spans="12:14" x14ac:dyDescent="0.25">
      <c r="L689" s="287"/>
      <c r="M689" s="287"/>
      <c r="N689" s="287"/>
    </row>
    <row r="690" spans="12:14" x14ac:dyDescent="0.25">
      <c r="L690" s="287"/>
      <c r="M690" s="287"/>
      <c r="N690" s="287"/>
    </row>
    <row r="691" spans="12:14" x14ac:dyDescent="0.25">
      <c r="L691" s="287"/>
      <c r="M691" s="287"/>
      <c r="N691" s="287"/>
    </row>
    <row r="692" spans="12:14" x14ac:dyDescent="0.25">
      <c r="L692" s="287"/>
      <c r="M692" s="287"/>
      <c r="N692" s="287"/>
    </row>
    <row r="693" spans="12:14" x14ac:dyDescent="0.25">
      <c r="L693" s="287"/>
      <c r="M693" s="287"/>
      <c r="N693" s="287"/>
    </row>
    <row r="694" spans="12:14" x14ac:dyDescent="0.25">
      <c r="L694" s="287"/>
      <c r="M694" s="287"/>
      <c r="N694" s="287"/>
    </row>
    <row r="695" spans="12:14" x14ac:dyDescent="0.25">
      <c r="L695" s="287"/>
      <c r="M695" s="287"/>
      <c r="N695" s="287"/>
    </row>
    <row r="696" spans="12:14" x14ac:dyDescent="0.25">
      <c r="L696" s="287"/>
      <c r="M696" s="287"/>
      <c r="N696" s="287"/>
    </row>
    <row r="697" spans="12:14" x14ac:dyDescent="0.25">
      <c r="L697" s="287"/>
      <c r="M697" s="287"/>
      <c r="N697" s="287"/>
    </row>
    <row r="698" spans="12:14" x14ac:dyDescent="0.25">
      <c r="L698" s="287"/>
      <c r="M698" s="287"/>
      <c r="N698" s="287"/>
    </row>
    <row r="699" spans="12:14" x14ac:dyDescent="0.25">
      <c r="L699" s="287"/>
      <c r="M699" s="287"/>
      <c r="N699" s="287"/>
    </row>
    <row r="700" spans="12:14" x14ac:dyDescent="0.25">
      <c r="L700" s="287"/>
      <c r="M700" s="287"/>
      <c r="N700" s="287"/>
    </row>
    <row r="701" spans="12:14" x14ac:dyDescent="0.25">
      <c r="L701" s="287"/>
      <c r="M701" s="287"/>
      <c r="N701" s="287"/>
    </row>
    <row r="702" spans="12:14" x14ac:dyDescent="0.25">
      <c r="L702" s="287"/>
      <c r="M702" s="287"/>
      <c r="N702" s="287"/>
    </row>
    <row r="703" spans="12:14" x14ac:dyDescent="0.25">
      <c r="L703" s="287"/>
      <c r="M703" s="287"/>
      <c r="N703" s="287"/>
    </row>
    <row r="704" spans="12:14" x14ac:dyDescent="0.25">
      <c r="L704" s="287"/>
      <c r="M704" s="287"/>
      <c r="N704" s="287"/>
    </row>
    <row r="705" spans="12:14" x14ac:dyDescent="0.25">
      <c r="L705" s="287"/>
      <c r="M705" s="287"/>
      <c r="N705" s="287"/>
    </row>
  </sheetData>
  <mergeCells count="4">
    <mergeCell ref="P1:R1"/>
    <mergeCell ref="P2:R2"/>
    <mergeCell ref="P3:R3"/>
    <mergeCell ref="P4:R4"/>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D2C15-8059-460C-A923-E41F20828F06}">
  <dimension ref="A1:T662"/>
  <sheetViews>
    <sheetView topLeftCell="A47" workbookViewId="0">
      <selection activeCell="S61" sqref="S61"/>
    </sheetView>
  </sheetViews>
  <sheetFormatPr defaultRowHeight="13.2" x14ac:dyDescent="0.25"/>
  <cols>
    <col min="1" max="1" width="10.6640625" customWidth="1"/>
    <col min="2" max="2" width="28" customWidth="1"/>
    <col min="3" max="3" width="32.109375" customWidth="1"/>
    <col min="4" max="4" width="18.5546875" style="36" customWidth="1"/>
    <col min="5" max="5" width="21.77734375" style="36" customWidth="1"/>
    <col min="6" max="6" width="14.6640625" style="36" customWidth="1"/>
    <col min="7" max="7" width="14.21875" style="36" customWidth="1"/>
    <col min="8" max="8" width="13" style="36" customWidth="1"/>
    <col min="9" max="9" width="14.33203125" style="36" hidden="1" customWidth="1"/>
    <col min="10" max="10" width="12.6640625" style="36" hidden="1" customWidth="1"/>
    <col min="11" max="11" width="13" style="36" hidden="1" customWidth="1"/>
    <col min="12" max="12" width="13.44140625" style="36" hidden="1" customWidth="1"/>
    <col min="13" max="13" width="14.6640625" style="36" hidden="1" customWidth="1"/>
    <col min="14" max="14" width="13.33203125" style="36" customWidth="1"/>
    <col min="15" max="15" width="12.6640625" style="36" customWidth="1"/>
    <col min="16" max="16" width="14.44140625" style="36" customWidth="1"/>
    <col min="17" max="17" width="12.6640625" style="36" customWidth="1"/>
    <col min="18" max="18" width="14.33203125" style="36" customWidth="1"/>
    <col min="19" max="19" width="12.6640625" style="8" customWidth="1"/>
    <col min="20" max="20" width="11.33203125" bestFit="1" customWidth="1"/>
  </cols>
  <sheetData>
    <row r="1" spans="1:19" x14ac:dyDescent="0.25">
      <c r="A1" s="64" t="s">
        <v>500</v>
      </c>
      <c r="D1" s="36">
        <f>D5-115139503</f>
        <v>0</v>
      </c>
    </row>
    <row r="3" spans="1:19" x14ac:dyDescent="0.25">
      <c r="A3" s="37"/>
      <c r="B3" s="37"/>
      <c r="C3" s="37"/>
      <c r="D3" s="38"/>
      <c r="E3" s="38"/>
      <c r="F3" s="38"/>
      <c r="G3" s="38"/>
      <c r="H3" s="38"/>
      <c r="I3" s="38"/>
      <c r="J3" s="38"/>
      <c r="K3" s="38"/>
      <c r="L3" s="38"/>
      <c r="M3" s="38"/>
      <c r="N3" s="38"/>
      <c r="O3" s="38"/>
      <c r="P3" s="38"/>
      <c r="Q3" s="38"/>
      <c r="R3" s="91" t="s">
        <v>56</v>
      </c>
      <c r="S3" s="39" t="s">
        <v>7</v>
      </c>
    </row>
    <row r="4" spans="1:19" x14ac:dyDescent="0.25">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8" thickBot="1" x14ac:dyDescent="0.3">
      <c r="C5" s="43" t="s">
        <v>24</v>
      </c>
      <c r="D5" s="44">
        <f>D7+D9+D11</f>
        <v>115139503</v>
      </c>
      <c r="E5" s="44">
        <f t="shared" ref="E5:Q5" si="0">E7+E9+E11</f>
        <v>71612290.280000016</v>
      </c>
      <c r="F5" s="44">
        <f t="shared" si="0"/>
        <v>10447718.860000001</v>
      </c>
      <c r="G5" s="44">
        <f t="shared" si="0"/>
        <v>0</v>
      </c>
      <c r="H5" s="44">
        <f t="shared" si="0"/>
        <v>5799556.7800000003</v>
      </c>
      <c r="I5" s="44">
        <f t="shared" si="0"/>
        <v>1803058.14</v>
      </c>
      <c r="J5" s="44">
        <f t="shared" si="0"/>
        <v>216168.12</v>
      </c>
      <c r="K5" s="44">
        <f t="shared" si="0"/>
        <v>1562025.5699999996</v>
      </c>
      <c r="L5" s="44">
        <f t="shared" si="0"/>
        <v>2590964.7400000002</v>
      </c>
      <c r="M5" s="44">
        <f t="shared" si="0"/>
        <v>887844.37000000011</v>
      </c>
      <c r="N5" s="44">
        <f t="shared" si="0"/>
        <v>2419341.0800000005</v>
      </c>
      <c r="O5" s="44">
        <f t="shared" si="0"/>
        <v>1201505.2</v>
      </c>
      <c r="P5" s="44">
        <f t="shared" si="0"/>
        <v>13181352.169999998</v>
      </c>
      <c r="Q5" s="44">
        <f t="shared" si="0"/>
        <v>563874.71</v>
      </c>
      <c r="R5" s="44">
        <f>R7+R9+R11</f>
        <v>2853802.9799999818</v>
      </c>
      <c r="S5" s="45"/>
    </row>
    <row r="6" spans="1:19" s="43" customFormat="1" ht="13.8" thickTop="1" x14ac:dyDescent="0.25">
      <c r="B6" s="48"/>
      <c r="D6" s="48"/>
      <c r="E6" s="48"/>
      <c r="F6" s="48"/>
      <c r="G6" s="48"/>
      <c r="H6" s="48"/>
      <c r="I6" s="48"/>
      <c r="J6" s="48"/>
      <c r="K6" s="48"/>
      <c r="L6" s="48"/>
      <c r="M6" s="48"/>
      <c r="N6" s="48"/>
      <c r="O6" s="48"/>
      <c r="P6" s="48"/>
      <c r="Q6" s="48"/>
      <c r="R6" s="48"/>
      <c r="S6" s="55"/>
    </row>
    <row r="7" spans="1:19" s="43" customFormat="1" ht="13.8" thickBot="1" x14ac:dyDescent="0.3">
      <c r="C7" s="69" t="s">
        <v>76</v>
      </c>
      <c r="D7" s="44">
        <f>SUM(E7:R7)</f>
        <v>25000000.000000004</v>
      </c>
      <c r="E7" s="44">
        <f>E13</f>
        <v>10632055.15</v>
      </c>
      <c r="F7" s="44">
        <f>F14</f>
        <v>5413423.9399999985</v>
      </c>
      <c r="G7" s="44"/>
      <c r="H7" s="44">
        <f>H15</f>
        <v>927390.77000000014</v>
      </c>
      <c r="I7" s="44">
        <f>I16</f>
        <v>492770.95999999996</v>
      </c>
      <c r="J7" s="44">
        <f>J17</f>
        <v>216168.12</v>
      </c>
      <c r="K7" s="44">
        <f>K18</f>
        <v>1374259.93</v>
      </c>
      <c r="L7" s="44">
        <f>L19</f>
        <v>1858039.76</v>
      </c>
      <c r="M7" s="44">
        <f>M21</f>
        <v>825384.37</v>
      </c>
      <c r="N7" s="44">
        <f>N23</f>
        <v>1562692.73</v>
      </c>
      <c r="O7" s="44">
        <f>O24</f>
        <v>884066.11</v>
      </c>
      <c r="P7" s="44">
        <f>P26</f>
        <v>671370.52</v>
      </c>
      <c r="Q7" s="44">
        <f>Q27</f>
        <v>142377.64000000001</v>
      </c>
      <c r="R7" s="44">
        <f>R28</f>
        <v>0</v>
      </c>
      <c r="S7" s="45">
        <f>SUM(S13:S27)</f>
        <v>0.99999999999999967</v>
      </c>
    </row>
    <row r="8" spans="1:19" s="43" customFormat="1" ht="13.8" thickTop="1" x14ac:dyDescent="0.25">
      <c r="B8" s="48"/>
      <c r="D8" s="48"/>
      <c r="E8" s="48"/>
      <c r="F8" s="48"/>
      <c r="G8" s="48"/>
      <c r="H8" s="48"/>
      <c r="I8" s="48"/>
      <c r="J8" s="48"/>
      <c r="K8" s="48"/>
      <c r="L8" s="48"/>
      <c r="M8" s="48"/>
      <c r="N8" s="48"/>
      <c r="O8" s="48"/>
      <c r="P8" s="48"/>
      <c r="Q8" s="48"/>
      <c r="R8" s="48"/>
      <c r="S8" s="55"/>
    </row>
    <row r="9" spans="1:19" s="43" customFormat="1" ht="13.8" thickBot="1" x14ac:dyDescent="0.3">
      <c r="B9" s="48"/>
      <c r="C9" s="69" t="s">
        <v>77</v>
      </c>
      <c r="D9" s="44">
        <f>SUM(E9:R9)</f>
        <v>40000000</v>
      </c>
      <c r="E9" s="44">
        <f>+E47+E63+E48+E64+E30+E65</f>
        <v>10840732.300000001</v>
      </c>
      <c r="F9" s="44">
        <f>F61+F31</f>
        <v>5034294.9200000027</v>
      </c>
      <c r="G9" s="44"/>
      <c r="H9" s="44">
        <f>H53+H52+H68+H32</f>
        <v>4872166.01</v>
      </c>
      <c r="I9" s="44">
        <f>I54+I55+I70+I71+I72+I56+I33</f>
        <v>1310287.18</v>
      </c>
      <c r="J9" s="44">
        <f>J34</f>
        <v>0</v>
      </c>
      <c r="K9" s="44">
        <f>K35+K61</f>
        <v>187765.63999999966</v>
      </c>
      <c r="L9" s="44">
        <f>L36</f>
        <v>732924.98000000021</v>
      </c>
      <c r="M9" s="44">
        <f>M38</f>
        <v>62460.000000000116</v>
      </c>
      <c r="N9" s="44">
        <f>N58+N74+N40</f>
        <v>856648.35000000044</v>
      </c>
      <c r="O9" s="44">
        <f>O41</f>
        <v>317439.08999999997</v>
      </c>
      <c r="P9" s="44">
        <f>P75+P76+P77+P43</f>
        <v>12509981.649999999</v>
      </c>
      <c r="Q9" s="44">
        <f>Q44</f>
        <v>421497.06999999995</v>
      </c>
      <c r="R9" s="44">
        <f>R79</f>
        <v>2853802.8099999949</v>
      </c>
      <c r="S9" s="45">
        <f>SUM(S30:S79)</f>
        <v>0.99999999999999989</v>
      </c>
    </row>
    <row r="10" spans="1:19" ht="13.8" thickTop="1" x14ac:dyDescent="0.25">
      <c r="A10" s="46"/>
      <c r="B10" s="339"/>
      <c r="C10" s="2"/>
      <c r="D10" s="47"/>
      <c r="E10" s="47"/>
      <c r="F10" s="47"/>
      <c r="G10" s="47"/>
      <c r="H10" s="47"/>
      <c r="I10" s="47"/>
      <c r="J10" s="47"/>
      <c r="K10" s="47"/>
      <c r="L10" s="47"/>
      <c r="M10" s="47"/>
      <c r="N10" s="47"/>
      <c r="O10" s="47"/>
      <c r="P10" s="47"/>
      <c r="Q10" s="47"/>
      <c r="R10" s="47"/>
    </row>
    <row r="11" spans="1:19" ht="13.8" thickBot="1" x14ac:dyDescent="0.3">
      <c r="A11" s="46"/>
      <c r="B11" s="339"/>
      <c r="C11" s="69" t="s">
        <v>88</v>
      </c>
      <c r="D11" s="44">
        <f>SUM(E11:R11)</f>
        <v>50139503</v>
      </c>
      <c r="E11" s="44">
        <f>E81+E82</f>
        <v>50139502.830000013</v>
      </c>
      <c r="F11" s="80"/>
      <c r="G11" s="80"/>
      <c r="H11" s="80"/>
      <c r="I11" s="80"/>
      <c r="J11" s="80"/>
      <c r="K11" s="80"/>
      <c r="L11" s="80"/>
      <c r="M11" s="80"/>
      <c r="N11" s="80"/>
      <c r="O11" s="80"/>
      <c r="P11" s="80"/>
      <c r="Q11" s="80"/>
      <c r="R11" s="44">
        <f>R83</f>
        <v>0.16999998688697815</v>
      </c>
      <c r="S11" s="45">
        <f>S81+S82+S83</f>
        <v>1</v>
      </c>
    </row>
    <row r="12" spans="1:19" ht="13.8" thickTop="1" x14ac:dyDescent="0.25">
      <c r="A12" s="46" t="s">
        <v>466</v>
      </c>
      <c r="B12" s="2"/>
      <c r="C12" s="69"/>
      <c r="D12" s="48"/>
      <c r="E12" s="48"/>
      <c r="F12" s="47"/>
      <c r="G12" s="47"/>
      <c r="H12" s="47"/>
      <c r="I12" s="47"/>
      <c r="J12" s="47"/>
      <c r="K12" s="47"/>
      <c r="L12" s="47"/>
      <c r="M12" s="47"/>
      <c r="N12" s="47"/>
      <c r="O12" s="47"/>
      <c r="P12" s="47"/>
      <c r="Q12" s="47"/>
      <c r="R12" s="47"/>
      <c r="S12" s="55"/>
    </row>
    <row r="13" spans="1:19" x14ac:dyDescent="0.25">
      <c r="A13" s="56" t="s">
        <v>11</v>
      </c>
      <c r="B13" s="56" t="s">
        <v>167</v>
      </c>
      <c r="C13" s="56" t="s">
        <v>32</v>
      </c>
      <c r="D13" s="36">
        <f t="shared" ref="D13:D26" si="1">SUM(E13:R13)</f>
        <v>10632055.15</v>
      </c>
      <c r="E13" s="48">
        <f>B107</f>
        <v>10632055.15</v>
      </c>
      <c r="F13" s="47"/>
      <c r="G13" s="47"/>
      <c r="H13" s="47"/>
      <c r="I13" s="47"/>
      <c r="J13" s="47"/>
      <c r="K13" s="47"/>
      <c r="L13" s="47"/>
      <c r="M13" s="47"/>
      <c r="N13" s="47"/>
      <c r="O13" s="47"/>
      <c r="P13" s="47"/>
      <c r="Q13" s="47"/>
      <c r="R13" s="47"/>
      <c r="S13" s="55">
        <f>D13/$D$7</f>
        <v>0.42528220599999994</v>
      </c>
    </row>
    <row r="14" spans="1:19" x14ac:dyDescent="0.25">
      <c r="A14" s="2" t="s">
        <v>12</v>
      </c>
      <c r="B14" s="56" t="s">
        <v>121</v>
      </c>
      <c r="C14" s="56" t="s">
        <v>32</v>
      </c>
      <c r="D14" s="36">
        <f t="shared" si="1"/>
        <v>5413423.9399999985</v>
      </c>
      <c r="E14" s="48"/>
      <c r="F14" s="47">
        <f>C107</f>
        <v>5413423.9399999985</v>
      </c>
      <c r="G14" s="47"/>
      <c r="H14" s="47"/>
      <c r="I14" s="47"/>
      <c r="J14" s="47"/>
      <c r="K14" s="47"/>
      <c r="L14" s="47"/>
      <c r="M14" s="47"/>
      <c r="N14" s="47"/>
      <c r="O14" s="47"/>
      <c r="P14" s="47"/>
      <c r="Q14" s="47"/>
      <c r="R14" s="47"/>
      <c r="S14" s="55">
        <f>D14/$D$7</f>
        <v>0.21653695759999991</v>
      </c>
    </row>
    <row r="15" spans="1:19" x14ac:dyDescent="0.25">
      <c r="A15" s="2" t="s">
        <v>14</v>
      </c>
      <c r="B15" s="56" t="s">
        <v>122</v>
      </c>
      <c r="C15" s="56" t="s">
        <v>32</v>
      </c>
      <c r="D15" s="36">
        <f t="shared" si="1"/>
        <v>927390.77000000014</v>
      </c>
      <c r="E15" s="48"/>
      <c r="F15" s="47"/>
      <c r="G15" s="47"/>
      <c r="H15" s="47">
        <f>D107</f>
        <v>927390.77000000014</v>
      </c>
      <c r="I15" s="47"/>
      <c r="J15" s="47"/>
      <c r="K15" s="47"/>
      <c r="L15" s="47"/>
      <c r="M15" s="47"/>
      <c r="N15" s="47"/>
      <c r="O15" s="47"/>
      <c r="P15" s="47"/>
      <c r="Q15" s="47"/>
      <c r="R15" s="47"/>
      <c r="S15" s="55">
        <f t="shared" ref="S15:S27" si="2">D15/$D$7</f>
        <v>3.7095630800000001E-2</v>
      </c>
    </row>
    <row r="16" spans="1:19" x14ac:dyDescent="0.25">
      <c r="A16" s="2" t="s">
        <v>15</v>
      </c>
      <c r="B16" s="56" t="s">
        <v>120</v>
      </c>
      <c r="C16" s="56" t="s">
        <v>32</v>
      </c>
      <c r="D16" s="36">
        <f t="shared" si="1"/>
        <v>492770.95999999996</v>
      </c>
      <c r="E16" s="48"/>
      <c r="F16" s="47"/>
      <c r="G16" s="47"/>
      <c r="H16" s="47"/>
      <c r="I16" s="47">
        <f>E107</f>
        <v>492770.95999999996</v>
      </c>
      <c r="J16" s="47"/>
      <c r="K16" s="47"/>
      <c r="L16" s="47"/>
      <c r="M16" s="47"/>
      <c r="N16" s="47"/>
      <c r="O16" s="47"/>
      <c r="P16" s="47"/>
      <c r="Q16" s="47"/>
      <c r="R16" s="47"/>
      <c r="S16" s="55">
        <f t="shared" si="2"/>
        <v>1.9710838399999996E-2</v>
      </c>
    </row>
    <row r="17" spans="1:19" x14ac:dyDescent="0.25">
      <c r="A17" s="2" t="s">
        <v>16</v>
      </c>
      <c r="B17" s="56" t="s">
        <v>84</v>
      </c>
      <c r="C17" s="56" t="s">
        <v>32</v>
      </c>
      <c r="D17" s="36">
        <f t="shared" si="1"/>
        <v>216168.12</v>
      </c>
      <c r="E17" s="48"/>
      <c r="F17" s="47"/>
      <c r="G17" s="47"/>
      <c r="H17" s="47"/>
      <c r="I17" s="47"/>
      <c r="J17" s="47">
        <v>216168.12</v>
      </c>
      <c r="K17" s="47"/>
      <c r="L17" s="47"/>
      <c r="M17" s="47"/>
      <c r="N17" s="47"/>
      <c r="O17" s="47"/>
      <c r="P17" s="47"/>
      <c r="Q17" s="47"/>
      <c r="R17" s="47"/>
      <c r="S17" s="55">
        <f t="shared" si="2"/>
        <v>8.6467247999999983E-3</v>
      </c>
    </row>
    <row r="18" spans="1:19" x14ac:dyDescent="0.25">
      <c r="A18" s="2" t="s">
        <v>56</v>
      </c>
      <c r="B18" s="56" t="s">
        <v>54</v>
      </c>
      <c r="C18" s="56" t="s">
        <v>36</v>
      </c>
      <c r="D18" s="36">
        <f t="shared" si="1"/>
        <v>1374259.93</v>
      </c>
      <c r="E18" s="48"/>
      <c r="F18" s="47"/>
      <c r="G18" s="47"/>
      <c r="H18" s="47"/>
      <c r="I18" s="47"/>
      <c r="J18" s="47"/>
      <c r="K18" s="47">
        <v>1374259.93</v>
      </c>
      <c r="L18" s="47"/>
      <c r="M18" s="47"/>
      <c r="N18" s="47"/>
      <c r="O18" s="47"/>
      <c r="P18" s="47"/>
      <c r="Q18" s="47"/>
      <c r="R18" s="47"/>
      <c r="S18" s="55">
        <f t="shared" si="2"/>
        <v>5.4970397199999986E-2</v>
      </c>
    </row>
    <row r="19" spans="1:19" x14ac:dyDescent="0.25">
      <c r="A19" s="2" t="s">
        <v>17</v>
      </c>
      <c r="B19" s="56" t="s">
        <v>128</v>
      </c>
      <c r="C19" s="56" t="s">
        <v>32</v>
      </c>
      <c r="D19" s="36">
        <f t="shared" si="1"/>
        <v>1858039.76</v>
      </c>
      <c r="E19" s="48"/>
      <c r="F19" s="47"/>
      <c r="G19" s="47"/>
      <c r="H19" s="47"/>
      <c r="I19" s="47"/>
      <c r="J19" s="47"/>
      <c r="K19" s="47"/>
      <c r="L19" s="47">
        <v>1858039.76</v>
      </c>
      <c r="M19" s="47"/>
      <c r="N19" s="47"/>
      <c r="O19" s="47"/>
      <c r="P19" s="47"/>
      <c r="Q19" s="47"/>
      <c r="R19" s="47"/>
      <c r="S19" s="55">
        <f t="shared" si="2"/>
        <v>7.4321590399999984E-2</v>
      </c>
    </row>
    <row r="20" spans="1:19" hidden="1" x14ac:dyDescent="0.25">
      <c r="A20" s="2" t="s">
        <v>17</v>
      </c>
      <c r="B20" s="2" t="s">
        <v>37</v>
      </c>
      <c r="C20" s="2" t="s">
        <v>38</v>
      </c>
      <c r="D20" s="36">
        <f t="shared" si="1"/>
        <v>0</v>
      </c>
      <c r="E20" s="48"/>
      <c r="F20" s="47"/>
      <c r="G20" s="47"/>
      <c r="H20" s="47"/>
      <c r="I20" s="47"/>
      <c r="J20" s="47"/>
      <c r="K20" s="47"/>
      <c r="L20" s="47"/>
      <c r="M20" s="47"/>
      <c r="N20" s="47"/>
      <c r="O20" s="47"/>
      <c r="P20" s="47"/>
      <c r="Q20" s="47"/>
      <c r="R20" s="47"/>
      <c r="S20" s="55">
        <f t="shared" si="2"/>
        <v>0</v>
      </c>
    </row>
    <row r="21" spans="1:19" x14ac:dyDescent="0.25">
      <c r="A21" s="2" t="s">
        <v>18</v>
      </c>
      <c r="B21" s="56" t="s">
        <v>510</v>
      </c>
      <c r="C21" s="56" t="s">
        <v>32</v>
      </c>
      <c r="D21" s="36">
        <f t="shared" si="1"/>
        <v>825384.37</v>
      </c>
      <c r="E21" s="48"/>
      <c r="F21" s="47"/>
      <c r="G21" s="47"/>
      <c r="H21" s="47"/>
      <c r="I21" s="47"/>
      <c r="J21" s="47"/>
      <c r="K21" s="47"/>
      <c r="L21" s="47"/>
      <c r="M21" s="47">
        <v>825384.37</v>
      </c>
      <c r="N21" s="47"/>
      <c r="O21" s="47"/>
      <c r="P21" s="47"/>
      <c r="Q21" s="47"/>
      <c r="R21" s="47"/>
      <c r="S21" s="55">
        <f t="shared" si="2"/>
        <v>3.3015374799999997E-2</v>
      </c>
    </row>
    <row r="22" spans="1:19" hidden="1" x14ac:dyDescent="0.25">
      <c r="A22" s="56" t="s">
        <v>18</v>
      </c>
      <c r="B22" s="56" t="s">
        <v>80</v>
      </c>
      <c r="C22" s="56" t="s">
        <v>36</v>
      </c>
      <c r="D22" s="36">
        <f t="shared" si="1"/>
        <v>0</v>
      </c>
      <c r="E22" s="48"/>
      <c r="F22" s="47"/>
      <c r="G22" s="47"/>
      <c r="H22" s="47"/>
      <c r="I22" s="47"/>
      <c r="J22" s="47"/>
      <c r="K22" s="47"/>
      <c r="L22" s="47"/>
      <c r="M22" s="47"/>
      <c r="N22" s="47"/>
      <c r="O22" s="47"/>
      <c r="P22" s="47"/>
      <c r="Q22" s="47"/>
      <c r="R22" s="47"/>
      <c r="S22" s="55">
        <f t="shared" si="2"/>
        <v>0</v>
      </c>
    </row>
    <row r="23" spans="1:19" x14ac:dyDescent="0.25">
      <c r="A23" s="2" t="s">
        <v>19</v>
      </c>
      <c r="B23" s="56" t="s">
        <v>169</v>
      </c>
      <c r="C23" s="56" t="s">
        <v>32</v>
      </c>
      <c r="D23" s="36">
        <f t="shared" si="1"/>
        <v>1562692.73</v>
      </c>
      <c r="E23" s="48"/>
      <c r="F23" s="47"/>
      <c r="G23" s="47"/>
      <c r="H23" s="47"/>
      <c r="I23" s="47"/>
      <c r="J23" s="47"/>
      <c r="K23" s="47"/>
      <c r="L23" s="47"/>
      <c r="M23" s="47"/>
      <c r="N23" s="47">
        <v>1562692.73</v>
      </c>
      <c r="O23" s="47"/>
      <c r="P23" s="47"/>
      <c r="Q23" s="47"/>
      <c r="R23" s="47"/>
      <c r="S23" s="55">
        <f t="shared" si="2"/>
        <v>6.2507709199999983E-2</v>
      </c>
    </row>
    <row r="24" spans="1:19" x14ac:dyDescent="0.25">
      <c r="A24" s="2" t="s">
        <v>20</v>
      </c>
      <c r="B24" s="56" t="s">
        <v>125</v>
      </c>
      <c r="C24" s="56" t="s">
        <v>32</v>
      </c>
      <c r="D24" s="36">
        <f t="shared" si="1"/>
        <v>884066.11</v>
      </c>
      <c r="E24" s="48"/>
      <c r="F24" s="47"/>
      <c r="G24" s="47"/>
      <c r="H24" s="47"/>
      <c r="I24" s="47"/>
      <c r="J24" s="47"/>
      <c r="K24" s="47"/>
      <c r="L24" s="47"/>
      <c r="M24" s="47"/>
      <c r="N24" s="47"/>
      <c r="O24" s="47">
        <v>884066.11</v>
      </c>
      <c r="P24" s="47"/>
      <c r="Q24" s="47"/>
      <c r="R24" s="47"/>
      <c r="S24" s="55">
        <f t="shared" si="2"/>
        <v>3.5362644399999997E-2</v>
      </c>
    </row>
    <row r="25" spans="1:19" hidden="1" x14ac:dyDescent="0.25">
      <c r="A25" s="2" t="s">
        <v>20</v>
      </c>
      <c r="B25" s="2" t="s">
        <v>33</v>
      </c>
      <c r="C25" s="2" t="s">
        <v>35</v>
      </c>
      <c r="D25" s="36">
        <f t="shared" si="1"/>
        <v>0</v>
      </c>
      <c r="E25" s="48"/>
      <c r="F25" s="47"/>
      <c r="G25" s="47"/>
      <c r="H25" s="47"/>
      <c r="I25" s="47"/>
      <c r="J25" s="47"/>
      <c r="K25" s="47"/>
      <c r="L25" s="47"/>
      <c r="M25" s="47"/>
      <c r="N25" s="47"/>
      <c r="O25" s="47"/>
      <c r="P25" s="47"/>
      <c r="Q25" s="47"/>
      <c r="R25" s="47"/>
      <c r="S25" s="55">
        <f t="shared" si="2"/>
        <v>0</v>
      </c>
    </row>
    <row r="26" spans="1:19" x14ac:dyDescent="0.25">
      <c r="A26" s="2" t="s">
        <v>21</v>
      </c>
      <c r="B26" s="56" t="s">
        <v>126</v>
      </c>
      <c r="C26" s="56" t="s">
        <v>32</v>
      </c>
      <c r="D26" s="36">
        <f t="shared" si="1"/>
        <v>671370.52</v>
      </c>
      <c r="E26" s="48"/>
      <c r="F26" s="47"/>
      <c r="G26" s="47"/>
      <c r="H26" s="47"/>
      <c r="I26" s="47"/>
      <c r="J26" s="47"/>
      <c r="K26" s="47"/>
      <c r="L26" s="47"/>
      <c r="M26" s="47"/>
      <c r="N26" s="47"/>
      <c r="O26" s="47"/>
      <c r="P26" s="47">
        <v>671370.52</v>
      </c>
      <c r="Q26" s="47"/>
      <c r="R26" s="47"/>
      <c r="S26" s="55">
        <f t="shared" si="2"/>
        <v>2.6854820799999998E-2</v>
      </c>
    </row>
    <row r="27" spans="1:19" x14ac:dyDescent="0.25">
      <c r="A27" s="2" t="s">
        <v>22</v>
      </c>
      <c r="B27" s="56" t="s">
        <v>127</v>
      </c>
      <c r="C27" s="56" t="s">
        <v>32</v>
      </c>
      <c r="D27" s="36">
        <f>SUM(E27:R27)</f>
        <v>142377.64000000001</v>
      </c>
      <c r="E27" s="48"/>
      <c r="F27" s="47"/>
      <c r="G27" s="47"/>
      <c r="H27" s="47"/>
      <c r="I27" s="47"/>
      <c r="J27" s="47"/>
      <c r="K27" s="47"/>
      <c r="L27" s="47"/>
      <c r="M27" s="47"/>
      <c r="N27" s="47"/>
      <c r="O27" s="47"/>
      <c r="P27" s="47"/>
      <c r="Q27" s="47">
        <v>142377.64000000001</v>
      </c>
      <c r="R27" s="47"/>
      <c r="S27" s="55">
        <f t="shared" si="2"/>
        <v>5.6951056E-3</v>
      </c>
    </row>
    <row r="28" spans="1:19" ht="13.8" thickBot="1" x14ac:dyDescent="0.3">
      <c r="A28" s="94"/>
      <c r="B28" s="95"/>
      <c r="C28" s="102" t="s">
        <v>97</v>
      </c>
      <c r="D28" s="96">
        <f>SUM(E28:R28)</f>
        <v>0</v>
      </c>
      <c r="E28" s="97"/>
      <c r="F28" s="98"/>
      <c r="G28" s="98"/>
      <c r="H28" s="98"/>
      <c r="I28" s="98"/>
      <c r="J28" s="98"/>
      <c r="K28" s="98"/>
      <c r="L28" s="98"/>
      <c r="M28" s="98"/>
      <c r="N28" s="98"/>
      <c r="O28" s="98"/>
      <c r="P28" s="98"/>
      <c r="Q28" s="98"/>
      <c r="R28" s="98"/>
      <c r="S28" s="310"/>
    </row>
    <row r="29" spans="1:19" x14ac:dyDescent="0.25">
      <c r="A29" s="56" t="s">
        <v>472</v>
      </c>
      <c r="B29" s="2"/>
      <c r="C29" s="2"/>
      <c r="D29" s="47"/>
      <c r="E29" s="47"/>
      <c r="F29" s="47"/>
      <c r="G29" s="47"/>
      <c r="H29" s="47"/>
      <c r="I29" s="47"/>
      <c r="J29" s="47"/>
      <c r="K29" s="47"/>
      <c r="L29" s="47"/>
      <c r="M29" s="47"/>
      <c r="N29" s="47"/>
      <c r="O29" s="47"/>
      <c r="P29" s="47"/>
      <c r="Q29" s="47"/>
      <c r="R29" s="47"/>
    </row>
    <row r="30" spans="1:19" x14ac:dyDescent="0.25">
      <c r="A30" s="56" t="s">
        <v>11</v>
      </c>
      <c r="B30" s="101" t="s">
        <v>505</v>
      </c>
      <c r="C30" s="56" t="s">
        <v>32</v>
      </c>
      <c r="D30" s="36">
        <f t="shared" ref="D30:D43" si="3">SUM(E30:R30)</f>
        <v>7717073.410000002</v>
      </c>
      <c r="E30" s="181">
        <f>D121+D143+D164+D195+D216+D237+D261+D280+D300+D321+D343+D364+D381+D404+D426-E13+2253426.81</f>
        <v>7717073.410000002</v>
      </c>
      <c r="F30" s="47"/>
      <c r="G30" s="47"/>
      <c r="H30" s="47"/>
      <c r="I30" s="47"/>
      <c r="J30" s="47"/>
      <c r="K30" s="47"/>
      <c r="L30" s="47"/>
      <c r="M30" s="47"/>
      <c r="N30" s="47"/>
      <c r="O30" s="47"/>
      <c r="P30" s="47"/>
      <c r="Q30" s="47"/>
      <c r="R30" s="47"/>
      <c r="S30" s="8">
        <f>D30/$D$9</f>
        <v>0.19292683525000004</v>
      </c>
    </row>
    <row r="31" spans="1:19" x14ac:dyDescent="0.25">
      <c r="A31" s="2" t="s">
        <v>12</v>
      </c>
      <c r="B31" s="56" t="s">
        <v>506</v>
      </c>
      <c r="C31" s="56" t="s">
        <v>32</v>
      </c>
      <c r="D31" s="36">
        <f t="shared" si="3"/>
        <v>5034294.9200000027</v>
      </c>
      <c r="E31" s="48"/>
      <c r="F31" s="181">
        <f>D122+D144+D165+D196+D217+D238+D262+D281+D301+D322+D344+D365+D382+D405+D427+D393+D416-F14</f>
        <v>5034294.9200000027</v>
      </c>
      <c r="G31" s="47"/>
      <c r="H31" s="47"/>
      <c r="I31" s="47"/>
      <c r="J31" s="47"/>
      <c r="K31" s="47"/>
      <c r="L31" s="47"/>
      <c r="M31" s="47"/>
      <c r="N31" s="47"/>
      <c r="O31" s="47"/>
      <c r="P31" s="47"/>
      <c r="Q31" s="47"/>
      <c r="R31" s="47"/>
      <c r="S31" s="8">
        <f t="shared" ref="S31:S44" si="4">D31/$D$9</f>
        <v>0.12585737300000008</v>
      </c>
    </row>
    <row r="32" spans="1:19" x14ac:dyDescent="0.25">
      <c r="A32" s="2" t="s">
        <v>14</v>
      </c>
      <c r="B32" s="101" t="s">
        <v>507</v>
      </c>
      <c r="C32" s="56" t="s">
        <v>32</v>
      </c>
      <c r="D32" s="36">
        <f t="shared" si="3"/>
        <v>1692070.63</v>
      </c>
      <c r="E32" s="48"/>
      <c r="F32" s="48"/>
      <c r="G32" s="47"/>
      <c r="H32" s="181">
        <f>D123+D145+D166+D197+D218+D228+D239+D251+D263+D273+D282+D302+D323+D345+D355+D366+D383+D406+D429-H15+D176</f>
        <v>1692070.63</v>
      </c>
      <c r="I32" s="47"/>
      <c r="J32" s="47"/>
      <c r="K32" s="47"/>
      <c r="L32" s="47"/>
      <c r="M32" s="47"/>
      <c r="N32" s="47"/>
      <c r="O32" s="47"/>
      <c r="P32" s="47"/>
      <c r="Q32" s="47"/>
      <c r="R32" s="47"/>
      <c r="S32" s="8">
        <f t="shared" si="4"/>
        <v>4.2301765749999998E-2</v>
      </c>
    </row>
    <row r="33" spans="1:20" x14ac:dyDescent="0.25">
      <c r="A33" s="2" t="s">
        <v>15</v>
      </c>
      <c r="B33" s="101" t="s">
        <v>508</v>
      </c>
      <c r="C33" s="56" t="s">
        <v>32</v>
      </c>
      <c r="D33" s="36">
        <f>SUM(E33:R33)</f>
        <v>1236918.19</v>
      </c>
      <c r="E33" s="48"/>
      <c r="F33" s="48"/>
      <c r="G33" s="47"/>
      <c r="H33" s="48"/>
      <c r="I33" s="181">
        <f>D124+D146+D167+D198+D219+D240+D264+D283+D303+D324+D346+D367+D384+D394+D407+D430-I16</f>
        <v>1236918.19</v>
      </c>
      <c r="J33" s="47"/>
      <c r="K33" s="47"/>
      <c r="L33" s="47"/>
      <c r="M33" s="47"/>
      <c r="N33" s="47"/>
      <c r="O33" s="47"/>
      <c r="P33" s="47"/>
      <c r="Q33" s="47"/>
      <c r="R33" s="47"/>
      <c r="S33" s="8">
        <f t="shared" si="4"/>
        <v>3.0922954749999999E-2</v>
      </c>
    </row>
    <row r="34" spans="1:20" x14ac:dyDescent="0.25">
      <c r="A34" s="2" t="s">
        <v>16</v>
      </c>
      <c r="B34" s="56" t="s">
        <v>84</v>
      </c>
      <c r="C34" s="56" t="s">
        <v>32</v>
      </c>
      <c r="D34" s="36">
        <f t="shared" si="3"/>
        <v>0</v>
      </c>
      <c r="E34" s="48"/>
      <c r="F34" s="48"/>
      <c r="G34" s="47"/>
      <c r="H34" s="48"/>
      <c r="I34" s="47"/>
      <c r="J34" s="181">
        <f>D125+D147+D168+D199+D220+D241+D265+D284+D304+D325+D334+D347+D368+D385+D395+D408+D417+D418+D431-J17+D396</f>
        <v>0</v>
      </c>
      <c r="K34" s="48"/>
      <c r="L34" s="47"/>
      <c r="M34" s="47"/>
      <c r="N34" s="47"/>
      <c r="O34" s="47"/>
      <c r="P34" s="47"/>
      <c r="Q34" s="47"/>
      <c r="R34" s="47"/>
      <c r="S34" s="8">
        <f t="shared" si="4"/>
        <v>0</v>
      </c>
    </row>
    <row r="35" spans="1:20" x14ac:dyDescent="0.25">
      <c r="A35" s="2" t="s">
        <v>56</v>
      </c>
      <c r="B35" s="56" t="s">
        <v>54</v>
      </c>
      <c r="C35" s="56" t="s">
        <v>36</v>
      </c>
      <c r="D35" s="36">
        <f t="shared" si="3"/>
        <v>0</v>
      </c>
      <c r="E35" s="48"/>
      <c r="F35" s="48"/>
      <c r="G35" s="47"/>
      <c r="H35" s="48"/>
      <c r="I35" s="47"/>
      <c r="J35" s="48"/>
      <c r="K35" s="181">
        <f>D133+D134+D135+D154+D155+D156+D157+D175+D229+D250+D248+D272+D291+D311+D313+D332+D354+D392+D415+D438-K18+D252+D177+D253</f>
        <v>0</v>
      </c>
      <c r="L35" s="47"/>
      <c r="M35" s="47"/>
      <c r="N35" s="47"/>
      <c r="O35" s="47"/>
      <c r="P35" s="47"/>
      <c r="Q35" s="47"/>
      <c r="R35" s="47"/>
      <c r="S35" s="8">
        <f t="shared" si="4"/>
        <v>0</v>
      </c>
    </row>
    <row r="36" spans="1:20" x14ac:dyDescent="0.25">
      <c r="A36" s="2" t="s">
        <v>17</v>
      </c>
      <c r="B36" s="101" t="s">
        <v>509</v>
      </c>
      <c r="C36" s="56" t="s">
        <v>32</v>
      </c>
      <c r="D36" s="36">
        <f t="shared" si="3"/>
        <v>732924.98000000021</v>
      </c>
      <c r="E36" s="48"/>
      <c r="F36" s="48"/>
      <c r="G36" s="47"/>
      <c r="H36" s="48"/>
      <c r="I36" s="47"/>
      <c r="J36" s="48"/>
      <c r="K36" s="48"/>
      <c r="L36" s="181">
        <f>D126+D148+D169+D200+D221+D242+D266+D285+D305+D326+D348+D369+D386+D409+D440+D432-L19</f>
        <v>732924.98000000021</v>
      </c>
      <c r="M36" s="47"/>
      <c r="N36" s="47"/>
      <c r="O36" s="47"/>
      <c r="P36" s="47"/>
      <c r="Q36" s="47"/>
      <c r="R36" s="47"/>
      <c r="S36" s="8">
        <f t="shared" si="4"/>
        <v>1.8323124500000006E-2</v>
      </c>
    </row>
    <row r="37" spans="1:20" hidden="1" x14ac:dyDescent="0.25">
      <c r="A37" s="2" t="s">
        <v>17</v>
      </c>
      <c r="B37" s="2" t="s">
        <v>37</v>
      </c>
      <c r="C37" s="2" t="s">
        <v>38</v>
      </c>
      <c r="D37" s="36">
        <f t="shared" si="3"/>
        <v>0</v>
      </c>
      <c r="E37" s="48"/>
      <c r="F37" s="47"/>
      <c r="G37" s="47"/>
      <c r="H37" s="47"/>
      <c r="I37" s="47"/>
      <c r="J37" s="47"/>
      <c r="K37" s="47"/>
      <c r="L37" s="48"/>
      <c r="M37" s="47"/>
      <c r="N37" s="47"/>
      <c r="O37" s="47"/>
      <c r="P37" s="47"/>
      <c r="Q37" s="47"/>
      <c r="R37" s="47"/>
      <c r="S37" s="8">
        <f t="shared" si="4"/>
        <v>0</v>
      </c>
    </row>
    <row r="38" spans="1:20" x14ac:dyDescent="0.25">
      <c r="A38" s="2" t="s">
        <v>18</v>
      </c>
      <c r="B38" s="56" t="s">
        <v>168</v>
      </c>
      <c r="C38" s="56" t="s">
        <v>32</v>
      </c>
      <c r="D38" s="36">
        <f t="shared" si="3"/>
        <v>62460.000000000116</v>
      </c>
      <c r="E38" s="48"/>
      <c r="F38" s="47"/>
      <c r="G38" s="47"/>
      <c r="H38" s="47"/>
      <c r="I38" s="47"/>
      <c r="J38" s="47"/>
      <c r="K38" s="47"/>
      <c r="L38" s="48"/>
      <c r="M38" s="181">
        <f>D127+D149+D170+D201+D222+D243+D267+D286+D306+D312+D327+D333+D349+D370+D387+D397+D410+D433+D441+D442-M21</f>
        <v>62460.000000000116</v>
      </c>
      <c r="N38" s="47"/>
      <c r="O38" s="47"/>
      <c r="P38" s="47"/>
      <c r="Q38" s="47"/>
      <c r="R38" s="47"/>
      <c r="S38" s="8">
        <f t="shared" si="4"/>
        <v>1.561500000000003E-3</v>
      </c>
    </row>
    <row r="39" spans="1:20" hidden="1" x14ac:dyDescent="0.25">
      <c r="A39" s="56" t="s">
        <v>18</v>
      </c>
      <c r="B39" s="56" t="s">
        <v>80</v>
      </c>
      <c r="C39" s="56" t="s">
        <v>36</v>
      </c>
      <c r="D39" s="36">
        <f t="shared" si="3"/>
        <v>0</v>
      </c>
      <c r="E39" s="48"/>
      <c r="F39" s="47"/>
      <c r="G39" s="47"/>
      <c r="H39" s="47"/>
      <c r="I39" s="47"/>
      <c r="J39" s="47"/>
      <c r="K39" s="47"/>
      <c r="L39" s="48"/>
      <c r="M39" s="48"/>
      <c r="N39" s="47"/>
      <c r="O39" s="47"/>
      <c r="P39" s="47"/>
      <c r="Q39" s="47"/>
      <c r="R39" s="47"/>
      <c r="S39" s="8">
        <f t="shared" si="4"/>
        <v>0</v>
      </c>
    </row>
    <row r="40" spans="1:20" x14ac:dyDescent="0.25">
      <c r="A40" s="2" t="s">
        <v>19</v>
      </c>
      <c r="B40" s="56" t="s">
        <v>511</v>
      </c>
      <c r="C40" s="56" t="s">
        <v>32</v>
      </c>
      <c r="D40" s="36">
        <f t="shared" si="3"/>
        <v>257711.44000000041</v>
      </c>
      <c r="E40" s="48"/>
      <c r="F40" s="47"/>
      <c r="G40" s="47"/>
      <c r="H40" s="47"/>
      <c r="I40" s="47"/>
      <c r="J40" s="47"/>
      <c r="K40" s="47"/>
      <c r="L40" s="48"/>
      <c r="M40" s="48"/>
      <c r="N40" s="181">
        <f>D128+D150+D171+D202+D223+D244+D268+D287+D307+D328+D350+D371+D388+D411+D434+D443+D444-N23</f>
        <v>257711.44000000041</v>
      </c>
      <c r="O40" s="47"/>
      <c r="P40" s="47"/>
      <c r="Q40" s="47"/>
      <c r="R40" s="47"/>
      <c r="S40" s="8">
        <f t="shared" si="4"/>
        <v>6.4427860000000102E-3</v>
      </c>
    </row>
    <row r="41" spans="1:20" x14ac:dyDescent="0.25">
      <c r="A41" s="2" t="s">
        <v>20</v>
      </c>
      <c r="B41" s="56" t="s">
        <v>512</v>
      </c>
      <c r="C41" s="56" t="s">
        <v>32</v>
      </c>
      <c r="D41" s="36">
        <f t="shared" si="3"/>
        <v>317439.08999999997</v>
      </c>
      <c r="E41" s="48"/>
      <c r="F41" s="47"/>
      <c r="G41" s="47"/>
      <c r="H41" s="47"/>
      <c r="I41" s="47"/>
      <c r="J41" s="47"/>
      <c r="K41" s="47"/>
      <c r="L41" s="48"/>
      <c r="M41" s="48"/>
      <c r="N41" s="48"/>
      <c r="O41" s="181">
        <f>D129+D151+D172+D203+D224+D245+D269+D288+D308+D329+D351+D372+D389+D412+D435-O24</f>
        <v>317439.08999999997</v>
      </c>
      <c r="P41" s="47"/>
      <c r="Q41" s="47"/>
      <c r="R41" s="47"/>
      <c r="S41" s="8">
        <f t="shared" si="4"/>
        <v>7.9359772499999984E-3</v>
      </c>
    </row>
    <row r="42" spans="1:20" hidden="1" x14ac:dyDescent="0.25">
      <c r="A42" s="2" t="s">
        <v>20</v>
      </c>
      <c r="B42" s="2" t="s">
        <v>33</v>
      </c>
      <c r="C42" s="2" t="s">
        <v>35</v>
      </c>
      <c r="D42" s="36">
        <f t="shared" si="3"/>
        <v>0</v>
      </c>
      <c r="E42" s="48"/>
      <c r="F42" s="47"/>
      <c r="G42" s="47"/>
      <c r="H42" s="47"/>
      <c r="I42" s="47"/>
      <c r="J42" s="47"/>
      <c r="K42" s="47"/>
      <c r="L42" s="48"/>
      <c r="M42" s="48"/>
      <c r="N42" s="48"/>
      <c r="O42" s="48"/>
      <c r="P42" s="47"/>
      <c r="Q42" s="47"/>
      <c r="R42" s="47"/>
      <c r="S42" s="8">
        <f t="shared" si="4"/>
        <v>0</v>
      </c>
    </row>
    <row r="43" spans="1:20" x14ac:dyDescent="0.25">
      <c r="A43" s="2" t="s">
        <v>21</v>
      </c>
      <c r="B43" s="56" t="s">
        <v>513</v>
      </c>
      <c r="C43" s="56" t="s">
        <v>32</v>
      </c>
      <c r="D43" s="36">
        <f t="shared" si="3"/>
        <v>2261321.5699999994</v>
      </c>
      <c r="E43" s="48"/>
      <c r="F43" s="47"/>
      <c r="G43" s="47"/>
      <c r="H43" s="47"/>
      <c r="I43" s="47"/>
      <c r="J43" s="47"/>
      <c r="K43" s="47"/>
      <c r="L43" s="48"/>
      <c r="M43" s="48"/>
      <c r="N43" s="48"/>
      <c r="O43" s="47"/>
      <c r="P43" s="181">
        <f>D130+D152+D173+D204+D225+D246+D270+D289+D309+D330+D352+D373+D390+D413+D436-P26</f>
        <v>2261321.5699999994</v>
      </c>
      <c r="Q43" s="47"/>
      <c r="R43" s="47"/>
      <c r="S43" s="8">
        <f t="shared" si="4"/>
        <v>5.6533039249999986E-2</v>
      </c>
    </row>
    <row r="44" spans="1:20" x14ac:dyDescent="0.25">
      <c r="A44" s="2" t="s">
        <v>22</v>
      </c>
      <c r="B44" s="56" t="s">
        <v>514</v>
      </c>
      <c r="C44" s="56" t="s">
        <v>32</v>
      </c>
      <c r="D44" s="36">
        <f>SUM(E44:R44)</f>
        <v>421497.06999999995</v>
      </c>
      <c r="E44" s="48"/>
      <c r="F44" s="47"/>
      <c r="G44" s="47"/>
      <c r="H44" s="47"/>
      <c r="I44" s="47"/>
      <c r="J44" s="47"/>
      <c r="K44" s="47"/>
      <c r="L44" s="48"/>
      <c r="M44" s="48"/>
      <c r="N44" s="48"/>
      <c r="O44" s="47"/>
      <c r="P44" s="48"/>
      <c r="Q44" s="181">
        <f>D131+D153+D174+D205+D226+D247+D271+D290+D310+D331+D353+D374+D391+D414+D437-Q27</f>
        <v>421497.06999999995</v>
      </c>
      <c r="R44" s="48"/>
      <c r="S44" s="8">
        <f t="shared" si="4"/>
        <v>1.0537426749999999E-2</v>
      </c>
      <c r="T44" s="8"/>
    </row>
    <row r="45" spans="1:20" x14ac:dyDescent="0.25">
      <c r="A45" s="76"/>
      <c r="B45" s="76"/>
      <c r="C45" s="313"/>
      <c r="D45" s="49"/>
      <c r="E45" s="77"/>
      <c r="F45" s="78"/>
      <c r="G45" s="78"/>
      <c r="H45" s="78"/>
      <c r="I45" s="78"/>
      <c r="J45" s="78"/>
      <c r="K45" s="78"/>
      <c r="L45" s="78"/>
      <c r="M45" s="78"/>
      <c r="N45" s="78"/>
      <c r="O45" s="78"/>
      <c r="P45" s="78"/>
      <c r="Q45" s="78"/>
      <c r="R45" s="78"/>
      <c r="S45" s="50"/>
    </row>
    <row r="46" spans="1:20" x14ac:dyDescent="0.25">
      <c r="A46" s="56" t="s">
        <v>467</v>
      </c>
      <c r="B46" s="56"/>
      <c r="C46" s="56"/>
      <c r="E46" s="48"/>
      <c r="F46" s="47"/>
      <c r="G46" s="47"/>
      <c r="H46" s="47"/>
      <c r="I46" s="47"/>
      <c r="J46" s="47"/>
      <c r="K46" s="47"/>
      <c r="L46" s="47"/>
      <c r="M46" s="47"/>
      <c r="N46" s="47"/>
      <c r="O46" s="47"/>
      <c r="P46" s="47"/>
      <c r="Q46" s="47"/>
      <c r="R46" s="47"/>
    </row>
    <row r="47" spans="1:20" x14ac:dyDescent="0.25">
      <c r="A47" s="56" t="s">
        <v>11</v>
      </c>
      <c r="B47" s="56" t="s">
        <v>94</v>
      </c>
      <c r="C47" s="56" t="s">
        <v>34</v>
      </c>
      <c r="D47" s="36">
        <f>SUM(E47:Q47)</f>
        <v>3115785.6199999996</v>
      </c>
      <c r="E47" s="48">
        <f>D119+D140+D162+D191+D296+D318+D340+D360</f>
        <v>3115785.6199999996</v>
      </c>
      <c r="F47" s="47"/>
      <c r="G47" s="47"/>
      <c r="H47" s="47"/>
      <c r="I47" s="47"/>
      <c r="J47" s="47"/>
      <c r="K47" s="47"/>
      <c r="L47" s="47"/>
      <c r="M47" s="47"/>
      <c r="N47" s="47"/>
      <c r="O47" s="47"/>
      <c r="P47" s="47"/>
      <c r="Q47" s="47"/>
      <c r="R47" s="47"/>
      <c r="S47" s="8">
        <f>D47/$D$9</f>
        <v>7.7894640499999987E-2</v>
      </c>
    </row>
    <row r="48" spans="1:20" x14ac:dyDescent="0.25">
      <c r="A48" s="56" t="s">
        <v>11</v>
      </c>
      <c r="B48" s="56" t="s">
        <v>100</v>
      </c>
      <c r="C48" s="56" t="s">
        <v>101</v>
      </c>
      <c r="D48" s="36">
        <f t="shared" ref="D48:D75" si="5">SUM(E48:Q48)</f>
        <v>0</v>
      </c>
      <c r="E48" s="48"/>
      <c r="F48" s="47"/>
      <c r="G48" s="47"/>
      <c r="H48" s="47"/>
      <c r="I48" s="47"/>
      <c r="J48" s="47"/>
      <c r="K48" s="47"/>
      <c r="L48" s="47"/>
      <c r="M48" s="47"/>
      <c r="N48" s="47"/>
      <c r="O48" s="47"/>
      <c r="P48" s="47"/>
      <c r="Q48" s="47"/>
      <c r="R48" s="47"/>
      <c r="S48" s="8">
        <f t="shared" ref="S48:S78" si="6">D48/$D$9</f>
        <v>0</v>
      </c>
    </row>
    <row r="49" spans="1:20" hidden="1" x14ac:dyDescent="0.25">
      <c r="A49" s="56" t="s">
        <v>11</v>
      </c>
      <c r="B49" s="56"/>
      <c r="C49" s="56"/>
      <c r="D49" s="36">
        <f t="shared" si="5"/>
        <v>0</v>
      </c>
      <c r="E49" s="48"/>
      <c r="F49" s="47"/>
      <c r="G49" s="47"/>
      <c r="H49" s="47"/>
      <c r="I49" s="47"/>
      <c r="J49" s="47"/>
      <c r="K49" s="47"/>
      <c r="L49" s="47"/>
      <c r="M49" s="47"/>
      <c r="N49" s="47"/>
      <c r="O49" s="47"/>
      <c r="P49" s="47"/>
      <c r="Q49" s="47"/>
      <c r="R49" s="47"/>
      <c r="S49" s="8">
        <f t="shared" si="6"/>
        <v>0</v>
      </c>
    </row>
    <row r="50" spans="1:20" hidden="1" x14ac:dyDescent="0.25">
      <c r="A50" s="2" t="s">
        <v>12</v>
      </c>
      <c r="B50" s="56" t="s">
        <v>39</v>
      </c>
      <c r="C50" s="2" t="s">
        <v>36</v>
      </c>
      <c r="D50" s="36">
        <f t="shared" si="5"/>
        <v>0</v>
      </c>
      <c r="E50" s="48"/>
      <c r="F50" s="48"/>
      <c r="G50" s="48"/>
      <c r="H50" s="47"/>
      <c r="I50" s="47"/>
      <c r="J50" s="47"/>
      <c r="K50" s="47"/>
      <c r="L50" s="47"/>
      <c r="M50" s="47"/>
      <c r="N50" s="47"/>
      <c r="O50" s="47"/>
      <c r="P50" s="47"/>
      <c r="Q50" s="47"/>
      <c r="R50" s="47"/>
      <c r="S50" s="8">
        <f t="shared" si="6"/>
        <v>0</v>
      </c>
    </row>
    <row r="51" spans="1:20" hidden="1" x14ac:dyDescent="0.25">
      <c r="A51" s="2" t="s">
        <v>13</v>
      </c>
      <c r="B51" s="56" t="s">
        <v>40</v>
      </c>
      <c r="C51" s="2" t="s">
        <v>36</v>
      </c>
      <c r="D51" s="36">
        <f t="shared" si="5"/>
        <v>0</v>
      </c>
      <c r="E51" s="48"/>
      <c r="F51" s="48"/>
      <c r="G51" s="48"/>
      <c r="H51" s="47"/>
      <c r="I51" s="47"/>
      <c r="J51" s="47"/>
      <c r="K51" s="47"/>
      <c r="L51" s="47"/>
      <c r="M51" s="47"/>
      <c r="N51" s="47"/>
      <c r="O51" s="47"/>
      <c r="P51" s="47"/>
      <c r="Q51" s="47"/>
      <c r="R51" s="47"/>
      <c r="S51" s="8">
        <f t="shared" si="6"/>
        <v>0</v>
      </c>
    </row>
    <row r="52" spans="1:20" x14ac:dyDescent="0.25">
      <c r="A52" s="2" t="s">
        <v>14</v>
      </c>
      <c r="B52" s="56" t="s">
        <v>54</v>
      </c>
      <c r="C52" s="56" t="s">
        <v>59</v>
      </c>
      <c r="D52" s="36">
        <f>SUM(E52:Q52)</f>
        <v>1058687.83</v>
      </c>
      <c r="E52" s="48"/>
      <c r="F52" s="48"/>
      <c r="G52" s="47"/>
      <c r="H52" s="48">
        <f>D210</f>
        <v>1058687.83</v>
      </c>
      <c r="I52" s="47"/>
      <c r="J52" s="47"/>
      <c r="K52" s="47"/>
      <c r="L52" s="47"/>
      <c r="M52" s="47"/>
      <c r="N52" s="47"/>
      <c r="O52" s="47"/>
      <c r="P52" s="47"/>
      <c r="Q52" s="47"/>
      <c r="R52" s="47"/>
      <c r="S52" s="8">
        <f t="shared" si="6"/>
        <v>2.6467195750000002E-2</v>
      </c>
    </row>
    <row r="53" spans="1:20" x14ac:dyDescent="0.25">
      <c r="A53" s="56" t="s">
        <v>14</v>
      </c>
      <c r="B53" s="56" t="s">
        <v>93</v>
      </c>
      <c r="C53" s="56" t="s">
        <v>55</v>
      </c>
      <c r="D53" s="36">
        <f>SUM(E53:Q53)</f>
        <v>1753596.6299999994</v>
      </c>
      <c r="E53" s="48"/>
      <c r="F53" s="48"/>
      <c r="G53" s="47"/>
      <c r="H53" s="48">
        <f>D141+D192</f>
        <v>1753596.6299999994</v>
      </c>
      <c r="I53" s="47"/>
      <c r="J53" s="47"/>
      <c r="K53" s="47"/>
      <c r="L53" s="47"/>
      <c r="M53" s="47"/>
      <c r="N53" s="47"/>
      <c r="O53" s="47"/>
      <c r="P53" s="47"/>
      <c r="Q53" s="47"/>
      <c r="R53" s="47"/>
      <c r="S53" s="8">
        <f t="shared" si="6"/>
        <v>4.3839915749999986E-2</v>
      </c>
    </row>
    <row r="54" spans="1:20" x14ac:dyDescent="0.25">
      <c r="A54" s="56" t="s">
        <v>78</v>
      </c>
      <c r="B54" s="56" t="s">
        <v>57</v>
      </c>
      <c r="C54" s="56" t="s">
        <v>79</v>
      </c>
      <c r="D54" s="36">
        <f t="shared" si="5"/>
        <v>0</v>
      </c>
      <c r="E54" s="48"/>
      <c r="F54" s="48"/>
      <c r="G54" s="47"/>
      <c r="H54" s="48"/>
      <c r="I54" s="48">
        <f>D361</f>
        <v>0</v>
      </c>
      <c r="J54" s="47"/>
      <c r="K54" s="47"/>
      <c r="L54" s="47"/>
      <c r="M54" s="47"/>
      <c r="N54" s="47"/>
      <c r="O54" s="47"/>
      <c r="P54" s="47"/>
      <c r="Q54" s="47"/>
      <c r="R54" s="47"/>
      <c r="S54" s="8">
        <f t="shared" si="6"/>
        <v>0</v>
      </c>
    </row>
    <row r="55" spans="1:20" x14ac:dyDescent="0.25">
      <c r="A55" s="56" t="s">
        <v>15</v>
      </c>
      <c r="B55" s="56" t="s">
        <v>53</v>
      </c>
      <c r="C55" s="56" t="s">
        <v>61</v>
      </c>
      <c r="D55" s="36">
        <f t="shared" si="5"/>
        <v>73368.990000000005</v>
      </c>
      <c r="E55" s="48"/>
      <c r="F55" s="48"/>
      <c r="G55" s="47"/>
      <c r="H55" s="48"/>
      <c r="I55" s="48">
        <f>D234</f>
        <v>73368.990000000005</v>
      </c>
      <c r="J55" s="47"/>
      <c r="K55" s="47"/>
      <c r="L55" s="47"/>
      <c r="M55" s="47"/>
      <c r="N55" s="47"/>
      <c r="O55" s="47"/>
      <c r="P55" s="47"/>
      <c r="Q55" s="47"/>
      <c r="R55" s="47"/>
      <c r="S55" s="8">
        <f t="shared" si="6"/>
        <v>1.8342247500000002E-3</v>
      </c>
    </row>
    <row r="56" spans="1:20" hidden="1" x14ac:dyDescent="0.25">
      <c r="A56" s="56" t="s">
        <v>15</v>
      </c>
      <c r="B56" s="56" t="s">
        <v>86</v>
      </c>
      <c r="C56" s="56" t="s">
        <v>87</v>
      </c>
      <c r="D56" s="36">
        <f t="shared" si="5"/>
        <v>0</v>
      </c>
      <c r="E56" s="48"/>
      <c r="F56" s="48"/>
      <c r="G56" s="47"/>
      <c r="H56" s="48"/>
      <c r="I56" s="48"/>
      <c r="J56" s="47"/>
      <c r="K56" s="47"/>
      <c r="L56" s="47"/>
      <c r="M56" s="47"/>
      <c r="N56" s="47"/>
      <c r="O56" s="47"/>
      <c r="P56" s="47"/>
      <c r="Q56" s="47"/>
      <c r="R56" s="47"/>
      <c r="S56" s="8">
        <f t="shared" si="6"/>
        <v>0</v>
      </c>
    </row>
    <row r="57" spans="1:20" x14ac:dyDescent="0.25">
      <c r="A57" s="2" t="s">
        <v>56</v>
      </c>
      <c r="B57" s="56" t="s">
        <v>54</v>
      </c>
      <c r="C57" s="56" t="s">
        <v>60</v>
      </c>
      <c r="D57" s="36">
        <f t="shared" si="5"/>
        <v>0</v>
      </c>
      <c r="E57" s="48"/>
      <c r="F57" s="48"/>
      <c r="G57" s="47"/>
      <c r="H57" s="48"/>
      <c r="I57" s="47"/>
      <c r="J57" s="48"/>
      <c r="K57" s="48"/>
      <c r="L57" s="47"/>
      <c r="M57" s="47"/>
      <c r="N57" s="47"/>
      <c r="O57" s="47"/>
      <c r="P57" s="47"/>
      <c r="Q57" s="47"/>
      <c r="R57" s="47"/>
      <c r="S57" s="8">
        <f t="shared" si="6"/>
        <v>0</v>
      </c>
    </row>
    <row r="58" spans="1:20" x14ac:dyDescent="0.25">
      <c r="A58" s="81" t="s">
        <v>19</v>
      </c>
      <c r="B58" s="76" t="s">
        <v>84</v>
      </c>
      <c r="C58" s="76" t="s">
        <v>85</v>
      </c>
      <c r="D58" s="49">
        <f>SUM(E58:Q58)</f>
        <v>478072</v>
      </c>
      <c r="E58" s="77"/>
      <c r="F58" s="78"/>
      <c r="G58" s="78"/>
      <c r="H58" s="78"/>
      <c r="I58" s="78"/>
      <c r="J58" s="78"/>
      <c r="K58" s="78"/>
      <c r="L58" s="77"/>
      <c r="M58" s="77"/>
      <c r="N58" s="77">
        <f>D193</f>
        <v>478072</v>
      </c>
      <c r="O58" s="78"/>
      <c r="P58" s="78"/>
      <c r="Q58" s="78"/>
      <c r="R58" s="78"/>
      <c r="S58" s="50">
        <f t="shared" si="6"/>
        <v>1.19518E-2</v>
      </c>
      <c r="T58" s="8">
        <f>SUM(S29:S58)</f>
        <v>0.65533055925000006</v>
      </c>
    </row>
    <row r="59" spans="1:20" x14ac:dyDescent="0.25">
      <c r="A59" s="2"/>
      <c r="B59" s="56"/>
      <c r="C59" s="56"/>
      <c r="E59" s="48"/>
      <c r="F59" s="47"/>
      <c r="G59" s="47"/>
      <c r="H59" s="47"/>
      <c r="I59" s="47"/>
      <c r="J59" s="47"/>
      <c r="K59" s="47"/>
      <c r="L59" s="48"/>
      <c r="M59" s="48"/>
      <c r="N59" s="48"/>
      <c r="O59" s="47"/>
      <c r="P59" s="47"/>
      <c r="Q59" s="47"/>
      <c r="R59" s="47"/>
      <c r="T59" s="8"/>
    </row>
    <row r="60" spans="1:20" x14ac:dyDescent="0.25">
      <c r="A60" s="56" t="s">
        <v>474</v>
      </c>
      <c r="B60" s="56"/>
      <c r="C60" s="311"/>
      <c r="E60" s="48"/>
      <c r="F60" s="47"/>
      <c r="G60" s="47"/>
      <c r="H60" s="47"/>
      <c r="I60" s="47"/>
      <c r="J60" s="47"/>
      <c r="K60" s="47"/>
      <c r="L60" s="48"/>
      <c r="M60" s="48"/>
      <c r="N60" s="48"/>
      <c r="O60" s="47"/>
      <c r="P60" s="48"/>
      <c r="Q60" s="48"/>
      <c r="R60" s="48"/>
      <c r="S60" s="109"/>
      <c r="T60" s="8"/>
    </row>
    <row r="61" spans="1:20" x14ac:dyDescent="0.25">
      <c r="A61" s="105" t="s">
        <v>517</v>
      </c>
      <c r="B61" s="104" t="s">
        <v>132</v>
      </c>
      <c r="C61" s="105" t="s">
        <v>133</v>
      </c>
      <c r="D61" s="106">
        <f>SUM(E61:Q61)</f>
        <v>187765.63999999966</v>
      </c>
      <c r="E61" s="48"/>
      <c r="F61" s="47">
        <f>D185-2441192.45</f>
        <v>0</v>
      </c>
      <c r="G61" s="47"/>
      <c r="H61" s="47"/>
      <c r="I61" s="47"/>
      <c r="J61" s="47"/>
      <c r="K61" s="47">
        <f>D185-2253426.81</f>
        <v>187765.63999999966</v>
      </c>
      <c r="L61" s="48"/>
      <c r="M61" s="48"/>
      <c r="N61" s="48"/>
      <c r="O61" s="47"/>
      <c r="P61" s="48"/>
      <c r="Q61" s="48"/>
      <c r="R61" s="48"/>
      <c r="S61" s="109">
        <f>D61/$D$9</f>
        <v>4.694140999999992E-3</v>
      </c>
      <c r="T61" s="348" t="s">
        <v>518</v>
      </c>
    </row>
    <row r="62" spans="1:20" x14ac:dyDescent="0.25">
      <c r="A62" s="2"/>
      <c r="B62" s="56"/>
      <c r="C62" s="101"/>
      <c r="E62" s="48"/>
      <c r="F62" s="47"/>
      <c r="G62" s="47"/>
      <c r="H62" s="47"/>
      <c r="I62" s="47"/>
      <c r="J62" s="47"/>
      <c r="K62" s="47"/>
      <c r="L62" s="48"/>
      <c r="M62" s="48"/>
      <c r="N62" s="48"/>
      <c r="O62" s="47"/>
      <c r="P62" s="48"/>
      <c r="Q62" s="48"/>
      <c r="R62" s="48"/>
      <c r="T62" s="8"/>
    </row>
    <row r="63" spans="1:20" x14ac:dyDescent="0.25">
      <c r="A63" s="2" t="s">
        <v>11</v>
      </c>
      <c r="B63" s="56" t="s">
        <v>46</v>
      </c>
      <c r="C63" s="2" t="s">
        <v>47</v>
      </c>
      <c r="D63" s="36">
        <f t="shared" si="5"/>
        <v>0</v>
      </c>
      <c r="S63" s="8">
        <f t="shared" si="6"/>
        <v>0</v>
      </c>
    </row>
    <row r="64" spans="1:20" x14ac:dyDescent="0.25">
      <c r="A64" s="2" t="s">
        <v>11</v>
      </c>
      <c r="B64" s="56" t="s">
        <v>108</v>
      </c>
      <c r="C64" s="2" t="s">
        <v>109</v>
      </c>
      <c r="D64" s="36">
        <f t="shared" si="5"/>
        <v>0</v>
      </c>
      <c r="E64" s="36">
        <f>D512</f>
        <v>0</v>
      </c>
      <c r="S64" s="8">
        <f t="shared" si="6"/>
        <v>0</v>
      </c>
    </row>
    <row r="65" spans="1:20" x14ac:dyDescent="0.25">
      <c r="A65" s="101" t="s">
        <v>11</v>
      </c>
      <c r="B65" s="101" t="s">
        <v>58</v>
      </c>
      <c r="C65" s="101" t="s">
        <v>515</v>
      </c>
      <c r="D65" s="36">
        <f t="shared" si="5"/>
        <v>7873.27</v>
      </c>
      <c r="E65" s="36">
        <f>D500+D457</f>
        <v>7873.27</v>
      </c>
      <c r="S65" s="8">
        <f t="shared" si="6"/>
        <v>1.9683175E-4</v>
      </c>
    </row>
    <row r="66" spans="1:20" x14ac:dyDescent="0.25">
      <c r="A66" s="2" t="s">
        <v>11</v>
      </c>
      <c r="B66" s="101" t="s">
        <v>575</v>
      </c>
      <c r="C66" s="56" t="s">
        <v>576</v>
      </c>
      <c r="D66" s="36">
        <f t="shared" si="5"/>
        <v>0</v>
      </c>
      <c r="E66" s="36">
        <f>D451</f>
        <v>0</v>
      </c>
      <c r="S66" s="8">
        <f t="shared" si="6"/>
        <v>0</v>
      </c>
    </row>
    <row r="67" spans="1:20" x14ac:dyDescent="0.25">
      <c r="A67" s="56" t="s">
        <v>12</v>
      </c>
      <c r="B67" s="56" t="s">
        <v>492</v>
      </c>
      <c r="C67" s="56" t="s">
        <v>49</v>
      </c>
      <c r="D67" s="36">
        <f t="shared" si="5"/>
        <v>0</v>
      </c>
      <c r="F67" s="36">
        <f>D470</f>
        <v>0</v>
      </c>
      <c r="S67" s="8">
        <f t="shared" si="6"/>
        <v>0</v>
      </c>
    </row>
    <row r="68" spans="1:20" x14ac:dyDescent="0.25">
      <c r="A68" s="56" t="s">
        <v>14</v>
      </c>
      <c r="B68" s="56" t="s">
        <v>104</v>
      </c>
      <c r="C68" s="56" t="s">
        <v>105</v>
      </c>
      <c r="D68" s="36">
        <f t="shared" si="5"/>
        <v>367810.92</v>
      </c>
      <c r="H68" s="345">
        <f>D464</f>
        <v>367810.92</v>
      </c>
      <c r="S68" s="8">
        <f t="shared" si="6"/>
        <v>9.1952730000000003E-3</v>
      </c>
    </row>
    <row r="69" spans="1:20" x14ac:dyDescent="0.25">
      <c r="A69" s="56" t="s">
        <v>14</v>
      </c>
      <c r="B69" s="56" t="s">
        <v>102</v>
      </c>
      <c r="C69" s="56" t="s">
        <v>579</v>
      </c>
      <c r="D69" s="36">
        <f t="shared" si="5"/>
        <v>0</v>
      </c>
      <c r="H69" s="345">
        <f>D538</f>
        <v>0</v>
      </c>
      <c r="S69" s="8">
        <f t="shared" si="6"/>
        <v>0</v>
      </c>
    </row>
    <row r="70" spans="1:20" x14ac:dyDescent="0.25">
      <c r="A70" s="56" t="s">
        <v>15</v>
      </c>
      <c r="B70" s="56" t="s">
        <v>41</v>
      </c>
      <c r="C70" s="56" t="s">
        <v>44</v>
      </c>
      <c r="D70" s="36">
        <f t="shared" si="5"/>
        <v>0</v>
      </c>
      <c r="S70" s="8">
        <f t="shared" si="6"/>
        <v>0</v>
      </c>
    </row>
    <row r="71" spans="1:20" x14ac:dyDescent="0.25">
      <c r="A71" s="2" t="s">
        <v>15</v>
      </c>
      <c r="B71" s="56" t="s">
        <v>58</v>
      </c>
      <c r="C71" s="56" t="s">
        <v>81</v>
      </c>
      <c r="D71" s="36">
        <f t="shared" si="5"/>
        <v>0</v>
      </c>
      <c r="S71" s="8">
        <f t="shared" si="6"/>
        <v>0</v>
      </c>
    </row>
    <row r="72" spans="1:20" x14ac:dyDescent="0.25">
      <c r="A72" s="56" t="s">
        <v>15</v>
      </c>
      <c r="B72" s="56" t="s">
        <v>95</v>
      </c>
      <c r="C72" s="56" t="s">
        <v>62</v>
      </c>
      <c r="D72" s="36">
        <f t="shared" si="5"/>
        <v>0</v>
      </c>
      <c r="S72" s="8">
        <f t="shared" si="6"/>
        <v>0</v>
      </c>
    </row>
    <row r="73" spans="1:20" x14ac:dyDescent="0.25">
      <c r="A73" s="56" t="s">
        <v>19</v>
      </c>
      <c r="B73" s="56" t="s">
        <v>471</v>
      </c>
      <c r="C73" s="56" t="s">
        <v>345</v>
      </c>
      <c r="D73" s="36">
        <f t="shared" si="5"/>
        <v>0</v>
      </c>
      <c r="N73" s="36">
        <f>D502+D471</f>
        <v>0</v>
      </c>
      <c r="S73" s="8">
        <f t="shared" si="6"/>
        <v>0</v>
      </c>
    </row>
    <row r="74" spans="1:20" x14ac:dyDescent="0.25">
      <c r="A74" s="56" t="s">
        <v>19</v>
      </c>
      <c r="B74" s="56" t="s">
        <v>471</v>
      </c>
      <c r="C74" s="56" t="s">
        <v>50</v>
      </c>
      <c r="D74" s="36">
        <f t="shared" si="5"/>
        <v>120864.90999999999</v>
      </c>
      <c r="N74" s="345">
        <f>D503</f>
        <v>120864.90999999999</v>
      </c>
      <c r="S74" s="8">
        <f t="shared" si="6"/>
        <v>3.0216227499999999E-3</v>
      </c>
    </row>
    <row r="75" spans="1:20" x14ac:dyDescent="0.25">
      <c r="A75" s="2" t="s">
        <v>21</v>
      </c>
      <c r="B75" s="56" t="s">
        <v>107</v>
      </c>
      <c r="C75" s="123" t="s">
        <v>468</v>
      </c>
      <c r="D75" s="36">
        <f t="shared" si="5"/>
        <v>8002384.1799999997</v>
      </c>
      <c r="P75" s="347">
        <f>D505+D472+D487+D458</f>
        <v>8002384.1799999997</v>
      </c>
      <c r="S75" s="8">
        <f t="shared" si="6"/>
        <v>0.20005960449999999</v>
      </c>
    </row>
    <row r="76" spans="1:20" x14ac:dyDescent="0.25">
      <c r="A76" s="2" t="s">
        <v>21</v>
      </c>
      <c r="B76" s="56" t="s">
        <v>106</v>
      </c>
      <c r="C76" s="123" t="s">
        <v>469</v>
      </c>
      <c r="D76" s="36">
        <f>SUM(E76:R76)</f>
        <v>2246275.9</v>
      </c>
      <c r="P76" s="345">
        <f>D465+D486+D504+D524+D514</f>
        <v>2246275.9</v>
      </c>
      <c r="S76" s="8">
        <f t="shared" si="6"/>
        <v>5.6156897499999997E-2</v>
      </c>
    </row>
    <row r="77" spans="1:20" x14ac:dyDescent="0.25">
      <c r="A77" s="56" t="s">
        <v>21</v>
      </c>
      <c r="B77" s="56" t="s">
        <v>102</v>
      </c>
      <c r="C77" s="56" t="s">
        <v>470</v>
      </c>
      <c r="D77" s="36">
        <f>SUM(E77:R77)</f>
        <v>0</v>
      </c>
      <c r="P77" s="36">
        <f>D525+D533+D541</f>
        <v>0</v>
      </c>
      <c r="S77" s="8">
        <f t="shared" si="6"/>
        <v>0</v>
      </c>
    </row>
    <row r="78" spans="1:20" x14ac:dyDescent="0.25">
      <c r="A78" s="56" t="s">
        <v>21</v>
      </c>
      <c r="B78" s="56" t="s">
        <v>573</v>
      </c>
      <c r="C78" s="56" t="s">
        <v>574</v>
      </c>
      <c r="D78" s="36">
        <f>SUM(E78:R78)</f>
        <v>0</v>
      </c>
      <c r="P78" s="36">
        <f>D452+D459</f>
        <v>0</v>
      </c>
      <c r="S78" s="8">
        <f t="shared" si="6"/>
        <v>0</v>
      </c>
    </row>
    <row r="79" spans="1:20" ht="13.8" thickBot="1" x14ac:dyDescent="0.3">
      <c r="A79" s="70" t="s">
        <v>56</v>
      </c>
      <c r="B79" s="70"/>
      <c r="C79" s="75" t="s">
        <v>97</v>
      </c>
      <c r="D79" s="71">
        <f>SUM(E79:R79)</f>
        <v>2853802.8099999949</v>
      </c>
      <c r="E79" s="72"/>
      <c r="F79" s="73"/>
      <c r="G79" s="73"/>
      <c r="H79" s="73"/>
      <c r="I79" s="73"/>
      <c r="J79" s="73"/>
      <c r="K79" s="73"/>
      <c r="L79" s="72"/>
      <c r="M79" s="72"/>
      <c r="N79" s="72"/>
      <c r="O79" s="73"/>
      <c r="P79" s="72"/>
      <c r="Q79" s="72"/>
      <c r="R79" s="72">
        <f>40000000-SUM(D30:D77)</f>
        <v>2853802.8099999949</v>
      </c>
      <c r="S79" s="109">
        <f>D79/D9</f>
        <v>7.1345070249999878E-2</v>
      </c>
      <c r="T79" s="8"/>
    </row>
    <row r="80" spans="1:20" ht="13.8" thickTop="1" x14ac:dyDescent="0.25">
      <c r="A80" s="56" t="s">
        <v>473</v>
      </c>
      <c r="B80" s="56"/>
      <c r="C80" s="101"/>
      <c r="E80" s="48"/>
      <c r="F80" s="47"/>
      <c r="G80" s="47"/>
      <c r="H80" s="47"/>
      <c r="I80" s="47"/>
      <c r="J80" s="47"/>
      <c r="K80" s="47"/>
      <c r="L80" s="48"/>
      <c r="M80" s="48"/>
      <c r="N80" s="48"/>
      <c r="O80" s="47"/>
      <c r="P80" s="48"/>
      <c r="Q80" s="48"/>
      <c r="R80" s="48"/>
      <c r="T80" s="8"/>
    </row>
    <row r="81" spans="1:20" x14ac:dyDescent="0.25">
      <c r="A81" s="2" t="s">
        <v>11</v>
      </c>
      <c r="B81" s="56" t="s">
        <v>96</v>
      </c>
      <c r="C81" s="2" t="s">
        <v>42</v>
      </c>
      <c r="D81" s="36">
        <f>SUM(E81:Q81)</f>
        <v>25467976.920000013</v>
      </c>
      <c r="E81" s="181">
        <f>D484+D498+D477</f>
        <v>25467976.920000013</v>
      </c>
      <c r="F81" s="47"/>
      <c r="G81" s="47"/>
      <c r="H81" s="47"/>
      <c r="I81" s="47"/>
      <c r="J81" s="47"/>
      <c r="K81" s="47"/>
      <c r="L81" s="48"/>
      <c r="M81" s="48"/>
      <c r="N81" s="48"/>
      <c r="O81" s="47"/>
      <c r="P81" s="48"/>
      <c r="Q81" s="48"/>
      <c r="R81" s="48"/>
      <c r="S81" s="8">
        <f>D81/$D$11</f>
        <v>0.50794234877038991</v>
      </c>
      <c r="T81" s="8"/>
    </row>
    <row r="82" spans="1:20" x14ac:dyDescent="0.25">
      <c r="A82" s="2" t="s">
        <v>11</v>
      </c>
      <c r="B82" s="56" t="s">
        <v>96</v>
      </c>
      <c r="C82" s="2" t="s">
        <v>43</v>
      </c>
      <c r="D82" s="36">
        <f>SUM(E82:Q82)</f>
        <v>24671525.91</v>
      </c>
      <c r="E82" s="183">
        <f>D499+D483+D478</f>
        <v>24671525.91</v>
      </c>
      <c r="S82" s="8">
        <f>D82/$D11</f>
        <v>0.49205764783907013</v>
      </c>
    </row>
    <row r="83" spans="1:20" x14ac:dyDescent="0.25">
      <c r="C83" s="101" t="s">
        <v>97</v>
      </c>
      <c r="D83" s="49">
        <f>SUM(E83:R83)</f>
        <v>0.16999998688697815</v>
      </c>
      <c r="E83" s="49"/>
      <c r="F83" s="49"/>
      <c r="G83" s="49"/>
      <c r="H83" s="49"/>
      <c r="I83" s="49"/>
      <c r="J83" s="49"/>
      <c r="K83" s="49"/>
      <c r="L83" s="49"/>
      <c r="M83" s="49"/>
      <c r="N83" s="49"/>
      <c r="O83" s="49"/>
      <c r="P83" s="49"/>
      <c r="Q83" s="49"/>
      <c r="R83" s="49">
        <f>50139503-SUM(D81:D82)</f>
        <v>0.16999998688697815</v>
      </c>
      <c r="S83" s="50">
        <f>D83/$D11</f>
        <v>3.3905399279083031E-9</v>
      </c>
    </row>
    <row r="84" spans="1:20" x14ac:dyDescent="0.25">
      <c r="C84" s="101"/>
      <c r="D84" s="103"/>
    </row>
    <row r="85" spans="1:20" s="8" customFormat="1" ht="13.8" thickBot="1" x14ac:dyDescent="0.3">
      <c r="B85" s="51"/>
      <c r="C85" s="52" t="s">
        <v>25</v>
      </c>
      <c r="D85" s="53"/>
      <c r="E85" s="53">
        <f>E5/D5</f>
        <v>0.62196108558849705</v>
      </c>
      <c r="F85" s="53">
        <f>F5/D5</f>
        <v>9.0739655702700067E-2</v>
      </c>
      <c r="G85" s="53">
        <f>G5/D5</f>
        <v>0</v>
      </c>
      <c r="H85" s="53">
        <f>H5/D5</f>
        <v>5.0369826418305806E-2</v>
      </c>
      <c r="I85" s="53">
        <f>I5/D5</f>
        <v>1.5659770044343511E-2</v>
      </c>
      <c r="J85" s="53">
        <f>J5/D5</f>
        <v>1.8774453108417533E-3</v>
      </c>
      <c r="K85" s="53">
        <f>K5/D5</f>
        <v>1.3566374087961797E-2</v>
      </c>
      <c r="L85" s="53">
        <f>L5/D5</f>
        <v>2.2502830674890097E-2</v>
      </c>
      <c r="M85" s="53">
        <f>M5/D5</f>
        <v>7.7110318080841475E-3</v>
      </c>
      <c r="N85" s="53">
        <f>N5/D5</f>
        <v>2.1012259189619749E-2</v>
      </c>
      <c r="O85" s="53">
        <f>O5/D5</f>
        <v>1.043521266545679E-2</v>
      </c>
      <c r="P85" s="53">
        <f>P5/D5</f>
        <v>0.11448157953226529</v>
      </c>
      <c r="Q85" s="53">
        <f>Q5/D5</f>
        <v>4.8973175609417037E-3</v>
      </c>
      <c r="R85" s="53">
        <f>R5/D5</f>
        <v>2.4785611416092198E-2</v>
      </c>
      <c r="S85" s="53"/>
    </row>
    <row r="86" spans="1:20" s="8" customFormat="1" ht="13.8" thickTop="1" x14ac:dyDescent="0.25">
      <c r="A86" s="54"/>
      <c r="C86" s="52"/>
    </row>
    <row r="87" spans="1:20" ht="13.8" x14ac:dyDescent="0.25">
      <c r="A87" s="126" t="s">
        <v>476</v>
      </c>
      <c r="E87"/>
      <c r="F87"/>
      <c r="G87"/>
      <c r="H87"/>
      <c r="I87"/>
      <c r="J87"/>
      <c r="K87"/>
      <c r="L87"/>
      <c r="M87"/>
      <c r="N87"/>
      <c r="O87"/>
      <c r="P87"/>
      <c r="Q87"/>
      <c r="R87"/>
      <c r="S87"/>
    </row>
    <row r="88" spans="1:20" x14ac:dyDescent="0.25">
      <c r="D88"/>
      <c r="E88"/>
      <c r="F88"/>
      <c r="G88"/>
      <c r="H88"/>
      <c r="I88"/>
      <c r="J88"/>
      <c r="K88"/>
      <c r="L88"/>
      <c r="M88"/>
      <c r="N88"/>
      <c r="O88"/>
      <c r="P88"/>
      <c r="Q88"/>
      <c r="R88"/>
      <c r="S88"/>
    </row>
    <row r="89" spans="1:20" x14ac:dyDescent="0.25">
      <c r="B89" s="322" t="s">
        <v>11</v>
      </c>
      <c r="C89" s="322" t="s">
        <v>12</v>
      </c>
      <c r="D89" s="322" t="s">
        <v>14</v>
      </c>
      <c r="E89" s="322" t="s">
        <v>15</v>
      </c>
      <c r="F89" s="322" t="s">
        <v>16</v>
      </c>
      <c r="G89" s="322" t="s">
        <v>17</v>
      </c>
      <c r="H89" s="322" t="s">
        <v>18</v>
      </c>
      <c r="I89" s="322" t="s">
        <v>19</v>
      </c>
      <c r="J89" s="322" t="s">
        <v>20</v>
      </c>
      <c r="K89" s="322" t="s">
        <v>21</v>
      </c>
      <c r="L89" s="322" t="s">
        <v>22</v>
      </c>
      <c r="M89" s="322" t="s">
        <v>477</v>
      </c>
      <c r="N89" s="322" t="s">
        <v>4</v>
      </c>
      <c r="O89"/>
      <c r="P89"/>
      <c r="Q89"/>
      <c r="R89"/>
      <c r="S89"/>
    </row>
    <row r="90" spans="1:20" x14ac:dyDescent="0.25">
      <c r="B90" s="323"/>
      <c r="C90" s="323"/>
      <c r="D90" s="323"/>
      <c r="E90" s="323"/>
      <c r="F90" s="323"/>
      <c r="G90" s="323"/>
      <c r="H90" s="323"/>
      <c r="I90" s="323"/>
      <c r="J90" s="323"/>
      <c r="K90" s="323"/>
      <c r="L90" s="323"/>
      <c r="M90" s="323"/>
      <c r="N90" s="324"/>
      <c r="O90"/>
      <c r="P90"/>
      <c r="Q90"/>
      <c r="R90"/>
      <c r="S90"/>
    </row>
    <row r="91" spans="1:20" x14ac:dyDescent="0.25">
      <c r="A91" s="123" t="s">
        <v>478</v>
      </c>
      <c r="B91" s="325">
        <v>3332055.1500000004</v>
      </c>
      <c r="C91" s="325"/>
      <c r="D91" s="325"/>
      <c r="E91" s="325"/>
      <c r="F91" s="325"/>
      <c r="G91" s="325"/>
      <c r="H91" s="325"/>
      <c r="I91" s="325">
        <v>328929.98999999993</v>
      </c>
      <c r="J91" s="325"/>
      <c r="K91" s="325"/>
      <c r="L91" s="325"/>
      <c r="M91" s="325"/>
      <c r="N91" s="325"/>
      <c r="O91"/>
      <c r="P91"/>
      <c r="Q91"/>
      <c r="R91"/>
      <c r="S91"/>
    </row>
    <row r="92" spans="1:20" x14ac:dyDescent="0.25">
      <c r="A92" s="123" t="s">
        <v>479</v>
      </c>
      <c r="B92" s="325">
        <v>7300000</v>
      </c>
      <c r="C92" s="326">
        <v>973244.32999999984</v>
      </c>
      <c r="D92" s="325">
        <v>21886.49</v>
      </c>
      <c r="E92" s="325">
        <v>203041.7</v>
      </c>
      <c r="F92" s="325">
        <v>216168.12</v>
      </c>
      <c r="G92" s="325">
        <v>1500479.34</v>
      </c>
      <c r="H92" s="325">
        <v>405926.88</v>
      </c>
      <c r="I92" s="325">
        <f>583522.84+2814.57</f>
        <v>586337.40999999992</v>
      </c>
      <c r="J92" s="325">
        <v>338665.69</v>
      </c>
      <c r="K92" s="325">
        <v>273254.27999999997</v>
      </c>
      <c r="L92" s="325"/>
      <c r="M92" s="325"/>
      <c r="N92" s="325"/>
      <c r="O92"/>
      <c r="P92"/>
      <c r="Q92"/>
      <c r="R92"/>
      <c r="S92"/>
    </row>
    <row r="93" spans="1:20" x14ac:dyDescent="0.25">
      <c r="A93" s="123" t="s">
        <v>480</v>
      </c>
      <c r="B93" s="325"/>
      <c r="C93" s="326">
        <v>365771.9</v>
      </c>
      <c r="D93" s="325">
        <v>424374.56</v>
      </c>
      <c r="E93" s="325"/>
      <c r="F93" s="325"/>
      <c r="G93" s="325">
        <v>2221.42</v>
      </c>
      <c r="H93" s="325">
        <v>161371.20000000001</v>
      </c>
      <c r="I93" s="325">
        <v>282959.26999999996</v>
      </c>
      <c r="J93" s="325">
        <v>338653.17000000004</v>
      </c>
      <c r="K93" s="325">
        <v>16737.599999999999</v>
      </c>
      <c r="L93" s="325"/>
      <c r="M93" s="325"/>
      <c r="N93" s="325"/>
      <c r="O93"/>
      <c r="P93"/>
      <c r="Q93"/>
      <c r="R93"/>
      <c r="S93"/>
    </row>
    <row r="94" spans="1:20" x14ac:dyDescent="0.25">
      <c r="A94" s="123" t="s">
        <v>481</v>
      </c>
      <c r="B94" s="325"/>
      <c r="C94" s="326">
        <v>1119398.8500000001</v>
      </c>
      <c r="D94" s="325"/>
      <c r="E94" s="325">
        <v>134506.43000000002</v>
      </c>
      <c r="F94" s="325"/>
      <c r="G94" s="325"/>
      <c r="H94" s="325">
        <v>258086.28999999998</v>
      </c>
      <c r="I94" s="325">
        <v>212943.8</v>
      </c>
      <c r="J94" s="325"/>
      <c r="K94" s="325">
        <f>204970.11+21261.75</f>
        <v>226231.86</v>
      </c>
      <c r="L94" s="325">
        <v>28566.100000000002</v>
      </c>
      <c r="M94" s="325">
        <v>1374259.93</v>
      </c>
      <c r="N94" s="325"/>
      <c r="O94"/>
      <c r="P94"/>
      <c r="Q94"/>
      <c r="R94"/>
      <c r="S94"/>
    </row>
    <row r="95" spans="1:20" x14ac:dyDescent="0.25">
      <c r="A95" s="123" t="s">
        <v>482</v>
      </c>
      <c r="B95" s="325"/>
      <c r="C95" s="326">
        <v>921582.1100000001</v>
      </c>
      <c r="D95" s="325">
        <v>479656.43000000011</v>
      </c>
      <c r="E95" s="325">
        <v>155222.82999999999</v>
      </c>
      <c r="F95" s="325"/>
      <c r="G95" s="325"/>
      <c r="H95" s="325"/>
      <c r="I95" s="325">
        <v>64230.810000000005</v>
      </c>
      <c r="J95" s="325">
        <v>206747.25</v>
      </c>
      <c r="K95" s="325">
        <v>92480</v>
      </c>
      <c r="L95" s="325"/>
      <c r="M95" s="325"/>
      <c r="N95" s="325"/>
      <c r="O95"/>
      <c r="P95"/>
      <c r="Q95"/>
      <c r="R95"/>
      <c r="S95"/>
    </row>
    <row r="96" spans="1:20" x14ac:dyDescent="0.25">
      <c r="A96" s="123" t="s">
        <v>483</v>
      </c>
      <c r="B96" s="325"/>
      <c r="C96" s="326">
        <v>945312.5199999999</v>
      </c>
      <c r="D96" s="325">
        <v>1473.29</v>
      </c>
      <c r="E96" s="325"/>
      <c r="F96" s="325"/>
      <c r="G96" s="325">
        <v>281354.11</v>
      </c>
      <c r="H96" s="325"/>
      <c r="I96" s="325">
        <v>33258.36</v>
      </c>
      <c r="J96" s="325"/>
      <c r="K96" s="325">
        <v>29094.27</v>
      </c>
      <c r="L96" s="325">
        <v>113811.54000000001</v>
      </c>
      <c r="M96" s="325"/>
      <c r="N96" s="325"/>
      <c r="O96"/>
      <c r="P96"/>
      <c r="Q96"/>
      <c r="R96"/>
      <c r="S96"/>
    </row>
    <row r="97" spans="1:19" x14ac:dyDescent="0.25">
      <c r="A97" s="123" t="s">
        <v>484</v>
      </c>
      <c r="B97" s="325"/>
      <c r="C97" s="326">
        <v>789449.58</v>
      </c>
      <c r="D97" s="325"/>
      <c r="E97" s="325"/>
      <c r="F97" s="325"/>
      <c r="G97" s="325">
        <v>73984.89</v>
      </c>
      <c r="H97" s="325"/>
      <c r="I97" s="325">
        <v>44154.12</v>
      </c>
      <c r="J97" s="325"/>
      <c r="K97" s="325">
        <v>33572.51</v>
      </c>
      <c r="L97" s="325"/>
      <c r="M97" s="325"/>
      <c r="N97" s="325"/>
      <c r="O97"/>
      <c r="P97"/>
      <c r="Q97"/>
      <c r="R97"/>
      <c r="S97"/>
    </row>
    <row r="98" spans="1:19" x14ac:dyDescent="0.25">
      <c r="A98" s="123" t="s">
        <v>485</v>
      </c>
      <c r="B98" s="325"/>
      <c r="C98" s="326">
        <v>89533.01</v>
      </c>
      <c r="D98" s="325"/>
      <c r="E98" s="325"/>
      <c r="F98" s="325"/>
      <c r="G98" s="325"/>
      <c r="H98" s="325"/>
      <c r="I98" s="325">
        <v>9878.9699999999993</v>
      </c>
      <c r="J98" s="325"/>
      <c r="K98" s="325"/>
      <c r="L98" s="325"/>
      <c r="M98" s="325"/>
      <c r="N98" s="325"/>
      <c r="O98"/>
      <c r="P98"/>
      <c r="Q98"/>
      <c r="R98"/>
      <c r="S98"/>
    </row>
    <row r="99" spans="1:19" x14ac:dyDescent="0.25">
      <c r="A99" s="123" t="s">
        <v>486</v>
      </c>
      <c r="B99" s="325"/>
      <c r="C99" s="326">
        <v>16004.89</v>
      </c>
      <c r="D99" s="325"/>
      <c r="E99" s="325"/>
      <c r="F99" s="325"/>
      <c r="G99" s="325"/>
      <c r="H99" s="325"/>
      <c r="I99" s="325"/>
      <c r="J99" s="325"/>
      <c r="K99" s="325"/>
      <c r="L99" s="325"/>
      <c r="M99" s="325"/>
      <c r="N99" s="325"/>
      <c r="O99"/>
      <c r="P99"/>
      <c r="Q99"/>
      <c r="R99"/>
      <c r="S99"/>
    </row>
    <row r="100" spans="1:19" x14ac:dyDescent="0.25">
      <c r="A100" s="123" t="s">
        <v>487</v>
      </c>
      <c r="B100" s="325"/>
      <c r="C100" s="326">
        <v>65342.71</v>
      </c>
      <c r="D100" s="325"/>
      <c r="E100" s="325"/>
      <c r="F100" s="325"/>
      <c r="G100" s="325"/>
      <c r="H100" s="325"/>
      <c r="I100" s="325"/>
      <c r="J100" s="325"/>
      <c r="K100" s="325"/>
      <c r="L100" s="325"/>
      <c r="M100" s="325"/>
      <c r="N100" s="325"/>
      <c r="O100"/>
      <c r="P100"/>
      <c r="Q100"/>
      <c r="R100"/>
      <c r="S100"/>
    </row>
    <row r="101" spans="1:19" x14ac:dyDescent="0.25">
      <c r="A101" s="123" t="s">
        <v>488</v>
      </c>
      <c r="B101" s="325"/>
      <c r="C101" s="326">
        <v>87837.97</v>
      </c>
      <c r="D101" s="325"/>
      <c r="E101" s="325"/>
      <c r="F101" s="325"/>
      <c r="G101" s="325"/>
      <c r="H101" s="325"/>
      <c r="I101" s="325"/>
      <c r="J101" s="325"/>
      <c r="K101" s="325"/>
      <c r="L101" s="325"/>
      <c r="M101" s="325"/>
      <c r="N101" s="325"/>
      <c r="O101"/>
      <c r="P101"/>
      <c r="Q101"/>
      <c r="R101"/>
      <c r="S101"/>
    </row>
    <row r="102" spans="1:19" x14ac:dyDescent="0.25">
      <c r="A102" s="123" t="s">
        <v>489</v>
      </c>
      <c r="B102" s="325"/>
      <c r="C102" s="326">
        <v>11117.16</v>
      </c>
      <c r="D102" s="325"/>
      <c r="E102" s="325"/>
      <c r="F102" s="325"/>
      <c r="G102" s="325"/>
      <c r="H102" s="325"/>
      <c r="I102" s="325"/>
      <c r="J102" s="325"/>
      <c r="K102" s="325"/>
      <c r="L102" s="325"/>
      <c r="M102" s="325"/>
      <c r="N102" s="325"/>
      <c r="O102"/>
      <c r="P102"/>
      <c r="Q102"/>
      <c r="R102"/>
      <c r="S102"/>
    </row>
    <row r="103" spans="1:19" x14ac:dyDescent="0.25">
      <c r="A103" s="123" t="s">
        <v>490</v>
      </c>
      <c r="B103" s="325"/>
      <c r="C103" s="326">
        <v>14969.81</v>
      </c>
      <c r="D103" s="325"/>
      <c r="E103" s="325"/>
      <c r="F103" s="325"/>
      <c r="G103" s="325"/>
      <c r="H103" s="325"/>
      <c r="I103" s="325"/>
      <c r="J103" s="325"/>
      <c r="K103" s="325"/>
      <c r="L103" s="325"/>
      <c r="M103" s="325"/>
      <c r="N103" s="325"/>
      <c r="O103"/>
      <c r="P103"/>
      <c r="Q103"/>
      <c r="R103"/>
      <c r="S103"/>
    </row>
    <row r="104" spans="1:19" x14ac:dyDescent="0.25">
      <c r="A104" s="123" t="s">
        <v>491</v>
      </c>
      <c r="B104" s="325"/>
      <c r="C104" s="326">
        <v>13859.1</v>
      </c>
      <c r="D104" s="325"/>
      <c r="E104" s="325"/>
      <c r="F104" s="325"/>
      <c r="G104" s="325"/>
      <c r="H104" s="325"/>
      <c r="I104" s="325"/>
      <c r="J104" s="325"/>
      <c r="K104" s="325"/>
      <c r="L104" s="325"/>
      <c r="M104" s="325"/>
      <c r="N104" s="325"/>
      <c r="O104"/>
      <c r="P104"/>
      <c r="Q104"/>
      <c r="R104"/>
      <c r="S104"/>
    </row>
    <row r="105" spans="1:19" x14ac:dyDescent="0.25">
      <c r="B105" s="325"/>
      <c r="C105" s="325"/>
      <c r="D105" s="325"/>
      <c r="E105" s="325"/>
      <c r="F105" s="325"/>
      <c r="G105" s="325"/>
      <c r="H105" s="325"/>
      <c r="I105" s="325"/>
      <c r="J105" s="325"/>
      <c r="K105" s="325"/>
      <c r="L105" s="325"/>
      <c r="M105" s="325"/>
      <c r="N105" s="325"/>
      <c r="O105"/>
      <c r="P105"/>
      <c r="Q105"/>
      <c r="R105"/>
      <c r="S105"/>
    </row>
    <row r="106" spans="1:19" x14ac:dyDescent="0.25">
      <c r="B106" s="325"/>
      <c r="C106" s="325"/>
      <c r="D106" s="325"/>
      <c r="E106" s="325"/>
      <c r="F106" s="325"/>
      <c r="G106" s="325"/>
      <c r="H106" s="325"/>
      <c r="I106" s="325"/>
      <c r="J106" s="325"/>
      <c r="K106" s="325"/>
      <c r="L106" s="325"/>
      <c r="M106" s="325"/>
      <c r="N106" s="325"/>
      <c r="O106"/>
      <c r="P106"/>
      <c r="Q106"/>
      <c r="R106"/>
      <c r="S106"/>
    </row>
    <row r="107" spans="1:19" x14ac:dyDescent="0.25">
      <c r="B107" s="327">
        <f>SUM(B91:B106)</f>
        <v>10632055.15</v>
      </c>
      <c r="C107" s="327">
        <f t="shared" ref="C107:M107" si="7">SUM(C91:C106)</f>
        <v>5413423.9399999985</v>
      </c>
      <c r="D107" s="327">
        <f t="shared" si="7"/>
        <v>927390.77000000014</v>
      </c>
      <c r="E107" s="327">
        <f t="shared" si="7"/>
        <v>492770.95999999996</v>
      </c>
      <c r="F107" s="327">
        <f t="shared" si="7"/>
        <v>216168.12</v>
      </c>
      <c r="G107" s="327">
        <f t="shared" si="7"/>
        <v>1858039.76</v>
      </c>
      <c r="H107" s="327">
        <f t="shared" si="7"/>
        <v>825384.37000000011</v>
      </c>
      <c r="I107" s="327">
        <f t="shared" si="7"/>
        <v>1562692.7300000002</v>
      </c>
      <c r="J107" s="327">
        <f t="shared" si="7"/>
        <v>884066.1100000001</v>
      </c>
      <c r="K107" s="327">
        <f t="shared" si="7"/>
        <v>671370.52</v>
      </c>
      <c r="L107" s="327">
        <f t="shared" si="7"/>
        <v>142377.64000000001</v>
      </c>
      <c r="M107" s="327">
        <f t="shared" si="7"/>
        <v>1374259.93</v>
      </c>
      <c r="N107" s="327">
        <f>SUM(B107:M107)</f>
        <v>25000000.000000004</v>
      </c>
      <c r="O107"/>
      <c r="P107"/>
      <c r="Q107"/>
      <c r="R107"/>
      <c r="S107"/>
    </row>
    <row r="108" spans="1:19" x14ac:dyDescent="0.25">
      <c r="B108" s="328"/>
      <c r="C108" s="328"/>
      <c r="D108" s="328"/>
      <c r="E108" s="328"/>
      <c r="F108" s="328"/>
      <c r="G108" s="328"/>
      <c r="H108" s="328"/>
      <c r="I108" s="328"/>
      <c r="J108" s="328"/>
      <c r="K108" s="328"/>
      <c r="L108" s="328"/>
      <c r="M108" s="328"/>
      <c r="N108" s="328"/>
      <c r="O108"/>
      <c r="P108"/>
      <c r="Q108"/>
      <c r="R108"/>
      <c r="S108"/>
    </row>
    <row r="112" spans="1:19" x14ac:dyDescent="0.25">
      <c r="C112" s="184"/>
      <c r="D112" s="184"/>
      <c r="E112" s="190"/>
    </row>
    <row r="113" spans="2:8" x14ac:dyDescent="0.25">
      <c r="B113" s="184"/>
      <c r="C113" s="184"/>
      <c r="D113" s="190"/>
      <c r="E113"/>
      <c r="F113"/>
      <c r="G113"/>
      <c r="H113"/>
    </row>
    <row r="114" spans="2:8" ht="13.8" thickBot="1" x14ac:dyDescent="0.3">
      <c r="B114" s="338"/>
      <c r="C114" s="184"/>
      <c r="D114" s="186"/>
      <c r="E114"/>
      <c r="F114"/>
      <c r="G114"/>
      <c r="H114"/>
    </row>
    <row r="115" spans="2:8" x14ac:dyDescent="0.25">
      <c r="B115" s="338" t="s">
        <v>572</v>
      </c>
      <c r="C115" s="197" t="s">
        <v>173</v>
      </c>
      <c r="D115" s="200" t="s">
        <v>0</v>
      </c>
      <c r="E115"/>
      <c r="F115"/>
      <c r="G115"/>
      <c r="H115"/>
    </row>
    <row r="116" spans="2:8" ht="13.8" thickBot="1" x14ac:dyDescent="0.3">
      <c r="B116" s="184"/>
      <c r="C116" s="204"/>
      <c r="D116" s="209" t="s">
        <v>188</v>
      </c>
      <c r="E116"/>
      <c r="F116"/>
      <c r="G116"/>
      <c r="H116"/>
    </row>
    <row r="117" spans="2:8" x14ac:dyDescent="0.25">
      <c r="B117" s="184"/>
      <c r="C117" s="184"/>
      <c r="D117" s="216"/>
      <c r="E117" s="43"/>
      <c r="F117" s="43"/>
      <c r="G117" s="43"/>
      <c r="H117" s="43"/>
    </row>
    <row r="118" spans="2:8" x14ac:dyDescent="0.25">
      <c r="B118" s="219" t="s">
        <v>197</v>
      </c>
      <c r="C118" s="220"/>
      <c r="D118" s="223"/>
      <c r="E118" s="43"/>
      <c r="F118" s="43"/>
      <c r="G118" s="43"/>
      <c r="H118" s="43"/>
    </row>
    <row r="119" spans="2:8" x14ac:dyDescent="0.25">
      <c r="B119" s="184" t="s">
        <v>199</v>
      </c>
      <c r="C119" s="312" t="s">
        <v>199</v>
      </c>
      <c r="D119" s="223">
        <v>83059.860000000015</v>
      </c>
      <c r="E119" s="43"/>
      <c r="F119" s="43"/>
      <c r="G119" s="43"/>
      <c r="H119" s="43"/>
    </row>
    <row r="120" spans="2:8" x14ac:dyDescent="0.25">
      <c r="B120" s="224" t="s">
        <v>201</v>
      </c>
      <c r="C120" s="224" t="s">
        <v>201</v>
      </c>
      <c r="D120" s="223"/>
      <c r="E120" s="43"/>
      <c r="F120" s="43"/>
      <c r="G120" s="43"/>
      <c r="H120" s="43"/>
    </row>
    <row r="121" spans="2:8" x14ac:dyDescent="0.25">
      <c r="B121" s="184" t="s">
        <v>202</v>
      </c>
      <c r="C121" s="184" t="s">
        <v>202</v>
      </c>
      <c r="D121" s="343">
        <f>4480983.78-2253426.81</f>
        <v>2227556.9700000002</v>
      </c>
      <c r="E121" s="56" t="s">
        <v>578</v>
      </c>
      <c r="F121" s="43"/>
      <c r="G121" s="43"/>
      <c r="H121" s="43"/>
    </row>
    <row r="122" spans="2:8" x14ac:dyDescent="0.25">
      <c r="B122" s="184" t="s">
        <v>203</v>
      </c>
      <c r="C122" s="184" t="s">
        <v>203</v>
      </c>
      <c r="D122" s="223">
        <v>87876.76</v>
      </c>
      <c r="E122"/>
      <c r="F122"/>
      <c r="G122"/>
      <c r="H122"/>
    </row>
    <row r="123" spans="2:8" x14ac:dyDescent="0.25">
      <c r="B123" s="184" t="s">
        <v>204</v>
      </c>
      <c r="C123" s="184" t="s">
        <v>204</v>
      </c>
      <c r="D123" s="223">
        <v>0</v>
      </c>
      <c r="E123"/>
      <c r="F123"/>
      <c r="G123"/>
      <c r="H123"/>
    </row>
    <row r="124" spans="2:8" x14ac:dyDescent="0.25">
      <c r="B124" s="184" t="s">
        <v>205</v>
      </c>
      <c r="C124" s="184" t="s">
        <v>205</v>
      </c>
      <c r="D124" s="223">
        <v>60394.39</v>
      </c>
      <c r="E124"/>
      <c r="F124"/>
      <c r="G124"/>
      <c r="H124"/>
    </row>
    <row r="125" spans="2:8" x14ac:dyDescent="0.25">
      <c r="B125" s="184" t="s">
        <v>206</v>
      </c>
      <c r="C125" s="184" t="s">
        <v>206</v>
      </c>
      <c r="D125" s="223">
        <v>0</v>
      </c>
      <c r="E125"/>
      <c r="F125"/>
      <c r="G125"/>
      <c r="H125"/>
    </row>
    <row r="126" spans="2:8" x14ac:dyDescent="0.25">
      <c r="B126" s="184" t="s">
        <v>207</v>
      </c>
      <c r="C126" s="184" t="s">
        <v>207</v>
      </c>
      <c r="D126" s="223">
        <v>0</v>
      </c>
      <c r="E126"/>
      <c r="F126"/>
      <c r="G126"/>
      <c r="H126"/>
    </row>
    <row r="127" spans="2:8" x14ac:dyDescent="0.25">
      <c r="B127" s="184" t="s">
        <v>208</v>
      </c>
      <c r="C127" s="184" t="s">
        <v>208</v>
      </c>
      <c r="D127" s="223">
        <v>0</v>
      </c>
      <c r="E127"/>
      <c r="F127"/>
      <c r="G127"/>
      <c r="H127"/>
    </row>
    <row r="128" spans="2:8" x14ac:dyDescent="0.25">
      <c r="B128" s="184" t="s">
        <v>209</v>
      </c>
      <c r="C128" s="184" t="s">
        <v>209</v>
      </c>
      <c r="D128" s="223">
        <v>36353.839999999997</v>
      </c>
      <c r="E128"/>
      <c r="F128"/>
      <c r="G128"/>
      <c r="H128"/>
    </row>
    <row r="129" spans="2:8" x14ac:dyDescent="0.25">
      <c r="B129" s="184" t="s">
        <v>210</v>
      </c>
      <c r="C129" s="184" t="s">
        <v>210</v>
      </c>
      <c r="D129" s="223">
        <v>0</v>
      </c>
      <c r="E129"/>
      <c r="F129"/>
      <c r="G129"/>
      <c r="H129"/>
    </row>
    <row r="130" spans="2:8" x14ac:dyDescent="0.25">
      <c r="B130" s="184" t="s">
        <v>211</v>
      </c>
      <c r="C130" s="184" t="s">
        <v>211</v>
      </c>
      <c r="D130" s="223">
        <v>0</v>
      </c>
      <c r="E130"/>
      <c r="F130"/>
      <c r="G130"/>
      <c r="H130"/>
    </row>
    <row r="131" spans="2:8" x14ac:dyDescent="0.25">
      <c r="B131" s="184" t="s">
        <v>212</v>
      </c>
      <c r="C131" s="184" t="s">
        <v>212</v>
      </c>
      <c r="D131" s="223">
        <v>0</v>
      </c>
      <c r="E131"/>
      <c r="F131"/>
      <c r="G131"/>
      <c r="H131"/>
    </row>
    <row r="132" spans="2:8" x14ac:dyDescent="0.25">
      <c r="B132" s="184" t="s">
        <v>213</v>
      </c>
      <c r="C132" s="184" t="s">
        <v>213</v>
      </c>
      <c r="D132" s="223">
        <v>0</v>
      </c>
      <c r="E132"/>
      <c r="F132"/>
      <c r="G132"/>
      <c r="H132"/>
    </row>
    <row r="133" spans="2:8" x14ac:dyDescent="0.25">
      <c r="B133" s="184" t="s">
        <v>214</v>
      </c>
      <c r="C133" s="184" t="s">
        <v>214</v>
      </c>
      <c r="D133" s="223">
        <v>0</v>
      </c>
      <c r="E133"/>
      <c r="F133"/>
      <c r="G133"/>
      <c r="H133"/>
    </row>
    <row r="134" spans="2:8" x14ac:dyDescent="0.25">
      <c r="B134" s="184" t="s">
        <v>215</v>
      </c>
      <c r="C134" s="184" t="s">
        <v>215</v>
      </c>
      <c r="D134" s="223">
        <v>0</v>
      </c>
      <c r="E134"/>
      <c r="F134"/>
      <c r="G134"/>
      <c r="H134"/>
    </row>
    <row r="135" spans="2:8" x14ac:dyDescent="0.25">
      <c r="B135" s="224" t="s">
        <v>216</v>
      </c>
      <c r="C135" s="224" t="s">
        <v>216</v>
      </c>
      <c r="D135" s="223">
        <v>0</v>
      </c>
      <c r="E135"/>
      <c r="F135"/>
      <c r="G135"/>
      <c r="H135"/>
    </row>
    <row r="136" spans="2:8" x14ac:dyDescent="0.25">
      <c r="B136" s="184"/>
      <c r="C136" s="184"/>
      <c r="D136" s="216"/>
      <c r="E136"/>
      <c r="F136"/>
      <c r="G136"/>
      <c r="H136"/>
    </row>
    <row r="137" spans="2:8" ht="13.8" thickBot="1" x14ac:dyDescent="0.3">
      <c r="B137" s="184"/>
      <c r="C137" s="227" t="s">
        <v>217</v>
      </c>
      <c r="D137" s="228">
        <f>SUM(D119:D136)</f>
        <v>2495241.8199999998</v>
      </c>
      <c r="E137"/>
      <c r="F137"/>
      <c r="G137"/>
      <c r="H137"/>
    </row>
    <row r="138" spans="2:8" ht="13.8" thickTop="1" x14ac:dyDescent="0.25">
      <c r="B138" s="184"/>
      <c r="C138" s="184"/>
      <c r="D138" s="216"/>
      <c r="E138"/>
      <c r="F138"/>
      <c r="G138"/>
      <c r="H138"/>
    </row>
    <row r="139" spans="2:8" x14ac:dyDescent="0.25">
      <c r="B139" s="219" t="s">
        <v>219</v>
      </c>
      <c r="C139" s="220"/>
      <c r="D139" s="223"/>
      <c r="E139"/>
      <c r="F139"/>
      <c r="G139"/>
      <c r="H139"/>
    </row>
    <row r="140" spans="2:8" x14ac:dyDescent="0.25">
      <c r="B140" s="184" t="s">
        <v>199</v>
      </c>
      <c r="C140" s="312" t="s">
        <v>199</v>
      </c>
      <c r="D140" s="223">
        <v>723771.39000000013</v>
      </c>
      <c r="E140"/>
      <c r="F140"/>
      <c r="G140"/>
      <c r="H140"/>
    </row>
    <row r="141" spans="2:8" x14ac:dyDescent="0.25">
      <c r="B141" s="184" t="s">
        <v>220</v>
      </c>
      <c r="C141" s="312" t="s">
        <v>220</v>
      </c>
      <c r="D141" s="223">
        <v>0</v>
      </c>
      <c r="E141"/>
      <c r="F141"/>
      <c r="G141"/>
      <c r="H141"/>
    </row>
    <row r="142" spans="2:8" x14ac:dyDescent="0.25">
      <c r="B142" s="224" t="s">
        <v>201</v>
      </c>
      <c r="C142" s="224" t="s">
        <v>201</v>
      </c>
      <c r="D142" s="223"/>
      <c r="E142"/>
      <c r="F142"/>
      <c r="G142"/>
      <c r="H142"/>
    </row>
    <row r="143" spans="2:8" x14ac:dyDescent="0.25">
      <c r="B143" s="184" t="s">
        <v>202</v>
      </c>
      <c r="C143" s="184" t="s">
        <v>202</v>
      </c>
      <c r="D143" s="223">
        <v>6568144.7800000012</v>
      </c>
      <c r="E143"/>
      <c r="F143"/>
      <c r="G143"/>
      <c r="H143"/>
    </row>
    <row r="144" spans="2:8" x14ac:dyDescent="0.25">
      <c r="B144" s="184" t="s">
        <v>203</v>
      </c>
      <c r="C144" s="184" t="s">
        <v>203</v>
      </c>
      <c r="D144" s="223">
        <v>1069121.96</v>
      </c>
      <c r="E144"/>
      <c r="F144"/>
      <c r="G144"/>
      <c r="H144"/>
    </row>
    <row r="145" spans="2:8" x14ac:dyDescent="0.25">
      <c r="B145" s="184" t="s">
        <v>204</v>
      </c>
      <c r="C145" s="184" t="s">
        <v>204</v>
      </c>
      <c r="D145" s="223">
        <v>752227</v>
      </c>
      <c r="E145"/>
      <c r="F145"/>
      <c r="G145"/>
      <c r="H145"/>
    </row>
    <row r="146" spans="2:8" x14ac:dyDescent="0.25">
      <c r="B146" s="184" t="s">
        <v>205</v>
      </c>
      <c r="C146" s="184" t="s">
        <v>205</v>
      </c>
      <c r="D146" s="223">
        <v>908.17</v>
      </c>
      <c r="E146"/>
      <c r="F146"/>
      <c r="G146"/>
      <c r="H146"/>
    </row>
    <row r="147" spans="2:8" x14ac:dyDescent="0.25">
      <c r="B147" s="184" t="s">
        <v>206</v>
      </c>
      <c r="C147" s="184" t="s">
        <v>206</v>
      </c>
      <c r="D147" s="223">
        <v>0</v>
      </c>
      <c r="E147"/>
      <c r="F147"/>
      <c r="G147"/>
      <c r="H147"/>
    </row>
    <row r="148" spans="2:8" x14ac:dyDescent="0.25">
      <c r="B148" s="184" t="s">
        <v>207</v>
      </c>
      <c r="C148" s="184" t="s">
        <v>207</v>
      </c>
      <c r="D148" s="223">
        <v>476136.22</v>
      </c>
      <c r="E148"/>
      <c r="F148"/>
      <c r="G148"/>
      <c r="H148"/>
    </row>
    <row r="149" spans="2:8" x14ac:dyDescent="0.25">
      <c r="B149" s="184" t="s">
        <v>208</v>
      </c>
      <c r="C149" s="184" t="s">
        <v>208</v>
      </c>
      <c r="D149" s="223">
        <v>200625.08000000002</v>
      </c>
      <c r="E149"/>
      <c r="F149"/>
      <c r="G149"/>
      <c r="H149"/>
    </row>
    <row r="150" spans="2:8" x14ac:dyDescent="0.25">
      <c r="B150" s="184" t="s">
        <v>209</v>
      </c>
      <c r="C150" s="184" t="s">
        <v>209</v>
      </c>
      <c r="D150" s="223">
        <v>512710</v>
      </c>
      <c r="E150"/>
      <c r="F150"/>
      <c r="G150"/>
      <c r="H150"/>
    </row>
    <row r="151" spans="2:8" x14ac:dyDescent="0.25">
      <c r="B151" s="184" t="s">
        <v>210</v>
      </c>
      <c r="C151" s="184" t="s">
        <v>210</v>
      </c>
      <c r="D151" s="223">
        <v>0</v>
      </c>
      <c r="E151"/>
      <c r="F151"/>
      <c r="G151"/>
      <c r="H151"/>
    </row>
    <row r="152" spans="2:8" x14ac:dyDescent="0.25">
      <c r="B152" s="184" t="s">
        <v>211</v>
      </c>
      <c r="C152" s="184" t="s">
        <v>211</v>
      </c>
      <c r="D152" s="223">
        <v>0</v>
      </c>
      <c r="E152"/>
      <c r="F152"/>
      <c r="G152"/>
      <c r="H152"/>
    </row>
    <row r="153" spans="2:8" x14ac:dyDescent="0.25">
      <c r="B153" s="184" t="s">
        <v>212</v>
      </c>
      <c r="C153" s="184" t="s">
        <v>212</v>
      </c>
      <c r="D153" s="223">
        <v>79691.070000000007</v>
      </c>
      <c r="E153"/>
      <c r="F153"/>
      <c r="G153"/>
      <c r="H153"/>
    </row>
    <row r="154" spans="2:8" x14ac:dyDescent="0.25">
      <c r="B154" s="224" t="s">
        <v>216</v>
      </c>
      <c r="C154" s="224" t="s">
        <v>216</v>
      </c>
      <c r="D154" s="223">
        <v>0</v>
      </c>
      <c r="E154"/>
      <c r="F154"/>
      <c r="G154"/>
      <c r="H154"/>
    </row>
    <row r="155" spans="2:8" x14ac:dyDescent="0.25">
      <c r="B155" s="184" t="s">
        <v>221</v>
      </c>
      <c r="C155" s="184" t="s">
        <v>221</v>
      </c>
      <c r="D155" s="223">
        <v>0</v>
      </c>
      <c r="E155"/>
      <c r="F155"/>
      <c r="G155"/>
      <c r="H155"/>
    </row>
    <row r="156" spans="2:8" x14ac:dyDescent="0.25">
      <c r="B156" s="184" t="s">
        <v>222</v>
      </c>
      <c r="C156" s="184" t="s">
        <v>222</v>
      </c>
      <c r="D156" s="223">
        <v>0</v>
      </c>
      <c r="E156"/>
      <c r="F156"/>
      <c r="G156"/>
      <c r="H156"/>
    </row>
    <row r="157" spans="2:8" x14ac:dyDescent="0.25">
      <c r="B157" s="184" t="s">
        <v>223</v>
      </c>
      <c r="C157" s="184" t="s">
        <v>223</v>
      </c>
      <c r="D157" s="223">
        <v>0</v>
      </c>
      <c r="E157"/>
      <c r="F157"/>
      <c r="G157"/>
      <c r="H157"/>
    </row>
    <row r="158" spans="2:8" x14ac:dyDescent="0.25">
      <c r="B158" s="184"/>
      <c r="C158" s="184"/>
      <c r="D158" s="216"/>
      <c r="E158"/>
      <c r="F158"/>
      <c r="G158"/>
      <c r="H158"/>
    </row>
    <row r="159" spans="2:8" ht="13.8" thickBot="1" x14ac:dyDescent="0.3">
      <c r="B159" s="184"/>
      <c r="C159" s="227" t="s">
        <v>224</v>
      </c>
      <c r="D159" s="228">
        <f>SUM(D140:D158)</f>
        <v>10383335.670000004</v>
      </c>
      <c r="E159"/>
      <c r="F159"/>
      <c r="G159"/>
      <c r="H159"/>
    </row>
    <row r="160" spans="2:8" ht="13.8" thickTop="1" x14ac:dyDescent="0.25">
      <c r="B160" s="184"/>
      <c r="C160" s="224"/>
      <c r="D160" s="212"/>
      <c r="E160"/>
      <c r="F160"/>
      <c r="G160"/>
      <c r="H160"/>
    </row>
    <row r="161" spans="2:8" x14ac:dyDescent="0.25">
      <c r="B161" s="224" t="s">
        <v>225</v>
      </c>
      <c r="C161" s="184"/>
      <c r="D161" s="223"/>
      <c r="E161"/>
      <c r="F161"/>
      <c r="G161"/>
      <c r="H161"/>
    </row>
    <row r="162" spans="2:8" x14ac:dyDescent="0.25">
      <c r="B162" s="184" t="s">
        <v>199</v>
      </c>
      <c r="C162" s="312" t="s">
        <v>199</v>
      </c>
      <c r="D162" s="223">
        <v>2086432.8499999994</v>
      </c>
      <c r="E162"/>
      <c r="F162"/>
      <c r="G162"/>
      <c r="H162"/>
    </row>
    <row r="163" spans="2:8" x14ac:dyDescent="0.25">
      <c r="B163" s="224" t="s">
        <v>201</v>
      </c>
      <c r="C163" s="224" t="s">
        <v>201</v>
      </c>
      <c r="D163" s="223"/>
      <c r="E163"/>
      <c r="F163"/>
      <c r="G163"/>
      <c r="H163"/>
    </row>
    <row r="164" spans="2:8" x14ac:dyDescent="0.25">
      <c r="B164" s="184" t="s">
        <v>202</v>
      </c>
      <c r="C164" s="184" t="s">
        <v>202</v>
      </c>
      <c r="D164" s="223">
        <v>7300000</v>
      </c>
      <c r="E164"/>
      <c r="F164"/>
      <c r="G164"/>
      <c r="H164"/>
    </row>
    <row r="165" spans="2:8" x14ac:dyDescent="0.25">
      <c r="B165" s="184" t="s">
        <v>203</v>
      </c>
      <c r="C165" s="184" t="s">
        <v>203</v>
      </c>
      <c r="D165" s="223">
        <v>1703406.93</v>
      </c>
      <c r="E165"/>
      <c r="F165"/>
      <c r="G165"/>
      <c r="H165"/>
    </row>
    <row r="166" spans="2:8" x14ac:dyDescent="0.25">
      <c r="B166" s="184" t="s">
        <v>204</v>
      </c>
      <c r="C166" s="184" t="s">
        <v>204</v>
      </c>
      <c r="D166" s="223">
        <v>21886.49</v>
      </c>
      <c r="E166"/>
      <c r="F166"/>
      <c r="G166"/>
      <c r="H166"/>
    </row>
    <row r="167" spans="2:8" x14ac:dyDescent="0.25">
      <c r="B167" s="184" t="s">
        <v>205</v>
      </c>
      <c r="C167" s="184" t="s">
        <v>205</v>
      </c>
      <c r="D167" s="223">
        <v>684583.58</v>
      </c>
      <c r="E167"/>
      <c r="F167"/>
      <c r="G167"/>
      <c r="H167"/>
    </row>
    <row r="168" spans="2:8" x14ac:dyDescent="0.25">
      <c r="B168" s="184" t="s">
        <v>206</v>
      </c>
      <c r="C168" s="184" t="s">
        <v>206</v>
      </c>
      <c r="D168" s="223">
        <v>216168.12</v>
      </c>
      <c r="E168"/>
      <c r="F168"/>
      <c r="G168"/>
      <c r="H168"/>
    </row>
    <row r="169" spans="2:8" x14ac:dyDescent="0.25">
      <c r="B169" s="184" t="s">
        <v>207</v>
      </c>
      <c r="C169" s="184" t="s">
        <v>207</v>
      </c>
      <c r="D169" s="232">
        <v>1508994</v>
      </c>
      <c r="E169"/>
      <c r="F169"/>
      <c r="G169"/>
      <c r="H169"/>
    </row>
    <row r="170" spans="2:8" x14ac:dyDescent="0.25">
      <c r="B170" s="184" t="s">
        <v>208</v>
      </c>
      <c r="C170" s="184" t="s">
        <v>208</v>
      </c>
      <c r="D170" s="232">
        <v>429133</v>
      </c>
      <c r="E170"/>
      <c r="F170"/>
      <c r="G170"/>
      <c r="H170"/>
    </row>
    <row r="171" spans="2:8" x14ac:dyDescent="0.25">
      <c r="B171" s="184" t="s">
        <v>209</v>
      </c>
      <c r="C171" s="184" t="s">
        <v>209</v>
      </c>
      <c r="D171" s="232">
        <v>623915.00000000012</v>
      </c>
      <c r="E171"/>
      <c r="F171"/>
      <c r="G171"/>
      <c r="H171"/>
    </row>
    <row r="172" spans="2:8" x14ac:dyDescent="0.25">
      <c r="B172" s="184" t="s">
        <v>226</v>
      </c>
      <c r="C172" s="184" t="s">
        <v>226</v>
      </c>
      <c r="D172" s="232">
        <v>656104.77999999991</v>
      </c>
      <c r="E172"/>
      <c r="F172"/>
      <c r="G172"/>
      <c r="H172"/>
    </row>
    <row r="173" spans="2:8" x14ac:dyDescent="0.25">
      <c r="B173" s="184" t="s">
        <v>211</v>
      </c>
      <c r="C173" s="184" t="s">
        <v>211</v>
      </c>
      <c r="D173" s="223">
        <v>1017548.6599999999</v>
      </c>
      <c r="E173"/>
      <c r="F173"/>
      <c r="G173"/>
      <c r="H173"/>
    </row>
    <row r="174" spans="2:8" x14ac:dyDescent="0.25">
      <c r="B174" s="184" t="s">
        <v>212</v>
      </c>
      <c r="C174" s="184" t="s">
        <v>212</v>
      </c>
      <c r="D174" s="223">
        <v>10462.950000000001</v>
      </c>
      <c r="E174"/>
      <c r="F174"/>
      <c r="G174"/>
      <c r="H174"/>
    </row>
    <row r="175" spans="2:8" x14ac:dyDescent="0.25">
      <c r="B175" s="224" t="s">
        <v>216</v>
      </c>
      <c r="C175" s="224" t="s">
        <v>216</v>
      </c>
      <c r="D175" s="223">
        <v>0</v>
      </c>
      <c r="E175" s="8"/>
      <c r="F175" s="8"/>
      <c r="G175" s="8"/>
      <c r="H175" s="8"/>
    </row>
    <row r="176" spans="2:8" x14ac:dyDescent="0.25">
      <c r="B176" s="184" t="s">
        <v>244</v>
      </c>
      <c r="C176" s="184" t="s">
        <v>244</v>
      </c>
      <c r="D176" s="223">
        <v>700000</v>
      </c>
      <c r="E176" s="8"/>
      <c r="F176" s="8"/>
      <c r="G176" s="8"/>
      <c r="H176" s="8"/>
    </row>
    <row r="177" spans="2:8" x14ac:dyDescent="0.25">
      <c r="B177" s="234" t="s">
        <v>502</v>
      </c>
      <c r="C177" s="234" t="s">
        <v>502</v>
      </c>
      <c r="D177" s="216">
        <v>0</v>
      </c>
      <c r="E177" s="123" t="s">
        <v>516</v>
      </c>
      <c r="F177"/>
      <c r="G177"/>
      <c r="H177"/>
    </row>
    <row r="178" spans="2:8" x14ac:dyDescent="0.25">
      <c r="B178" s="184"/>
      <c r="C178" s="224"/>
      <c r="D178" s="216"/>
      <c r="E178"/>
      <c r="F178"/>
      <c r="G178"/>
      <c r="H178"/>
    </row>
    <row r="179" spans="2:8" ht="13.8" thickBot="1" x14ac:dyDescent="0.3">
      <c r="B179" s="184"/>
      <c r="C179" s="227" t="s">
        <v>227</v>
      </c>
      <c r="D179" s="228">
        <f>SUM(D162:D177)</f>
        <v>16958636.359999999</v>
      </c>
      <c r="E179"/>
      <c r="F179"/>
      <c r="G179"/>
      <c r="H179"/>
    </row>
    <row r="180" spans="2:8" ht="13.8" thickTop="1" x14ac:dyDescent="0.25">
      <c r="B180" s="184"/>
      <c r="C180" s="184"/>
      <c r="D180" s="216"/>
      <c r="E180"/>
      <c r="F180"/>
      <c r="G180"/>
      <c r="H180"/>
    </row>
    <row r="181" spans="2:8" x14ac:dyDescent="0.25">
      <c r="B181" s="224" t="s">
        <v>228</v>
      </c>
      <c r="C181" s="184"/>
      <c r="D181" s="216"/>
      <c r="E181"/>
      <c r="F181"/>
      <c r="G181"/>
      <c r="H181"/>
    </row>
    <row r="182" spans="2:8" x14ac:dyDescent="0.25">
      <c r="B182" s="184" t="s">
        <v>229</v>
      </c>
      <c r="C182" s="312" t="s">
        <v>229</v>
      </c>
      <c r="D182" s="223">
        <v>0</v>
      </c>
      <c r="E182"/>
      <c r="F182"/>
      <c r="G182"/>
      <c r="H182"/>
    </row>
    <row r="183" spans="2:8" x14ac:dyDescent="0.25">
      <c r="B183" s="184" t="s">
        <v>230</v>
      </c>
      <c r="C183" s="312" t="s">
        <v>230</v>
      </c>
      <c r="D183" s="223">
        <v>0</v>
      </c>
      <c r="E183"/>
      <c r="F183"/>
      <c r="G183"/>
      <c r="H183"/>
    </row>
    <row r="184" spans="2:8" x14ac:dyDescent="0.25">
      <c r="B184" s="184" t="s">
        <v>231</v>
      </c>
      <c r="C184" s="312" t="s">
        <v>231</v>
      </c>
      <c r="D184" s="223">
        <v>0</v>
      </c>
      <c r="E184"/>
      <c r="F184"/>
      <c r="G184"/>
      <c r="H184"/>
    </row>
    <row r="185" spans="2:8" x14ac:dyDescent="0.25">
      <c r="B185" s="184" t="s">
        <v>203</v>
      </c>
      <c r="C185" s="312" t="s">
        <v>203</v>
      </c>
      <c r="D185" s="223">
        <v>2441192.4499999997</v>
      </c>
      <c r="E185" s="342" t="s">
        <v>519</v>
      </c>
      <c r="F185"/>
      <c r="G185"/>
      <c r="H185"/>
    </row>
    <row r="186" spans="2:8" x14ac:dyDescent="0.25">
      <c r="B186" s="184" t="s">
        <v>232</v>
      </c>
      <c r="C186" s="312" t="s">
        <v>232</v>
      </c>
      <c r="D186" s="223">
        <v>0</v>
      </c>
      <c r="E186" t="s">
        <v>501</v>
      </c>
      <c r="F186"/>
      <c r="G186"/>
      <c r="H186"/>
    </row>
    <row r="187" spans="2:8" x14ac:dyDescent="0.25">
      <c r="B187" s="184"/>
      <c r="C187" s="184"/>
      <c r="D187" s="216"/>
      <c r="E187"/>
      <c r="F187"/>
      <c r="G187"/>
      <c r="H187"/>
    </row>
    <row r="188" spans="2:8" ht="13.8" thickBot="1" x14ac:dyDescent="0.3">
      <c r="B188" s="184"/>
      <c r="C188" s="227" t="s">
        <v>233</v>
      </c>
      <c r="D188" s="228">
        <f>SUM(D182:D187)</f>
        <v>2441192.4499999997</v>
      </c>
      <c r="E188"/>
      <c r="F188"/>
      <c r="G188"/>
      <c r="H188"/>
    </row>
    <row r="189" spans="2:8" ht="13.8" thickTop="1" x14ac:dyDescent="0.25">
      <c r="B189" s="184"/>
      <c r="C189" s="184"/>
      <c r="D189" s="216"/>
      <c r="E189"/>
      <c r="F189"/>
      <c r="G189"/>
      <c r="H189"/>
    </row>
    <row r="190" spans="2:8" x14ac:dyDescent="0.25">
      <c r="B190" s="224" t="s">
        <v>234</v>
      </c>
      <c r="C190" s="184"/>
      <c r="D190" s="223"/>
      <c r="E190"/>
      <c r="F190"/>
      <c r="G190"/>
      <c r="H190"/>
    </row>
    <row r="191" spans="2:8" x14ac:dyDescent="0.25">
      <c r="B191" s="184" t="s">
        <v>235</v>
      </c>
      <c r="C191" s="312" t="s">
        <v>235</v>
      </c>
      <c r="D191" s="223">
        <v>222521.52000000002</v>
      </c>
      <c r="E191"/>
      <c r="F191"/>
      <c r="G191"/>
      <c r="H191"/>
    </row>
    <row r="192" spans="2:8" x14ac:dyDescent="0.25">
      <c r="B192" s="184" t="s">
        <v>236</v>
      </c>
      <c r="C192" s="312" t="s">
        <v>236</v>
      </c>
      <c r="D192" s="223">
        <v>1753596.6299999994</v>
      </c>
      <c r="E192"/>
      <c r="F192"/>
      <c r="G192"/>
      <c r="H192"/>
    </row>
    <row r="193" spans="2:8" x14ac:dyDescent="0.25">
      <c r="B193" s="184" t="s">
        <v>237</v>
      </c>
      <c r="C193" s="312" t="s">
        <v>237</v>
      </c>
      <c r="D193" s="223">
        <v>478072</v>
      </c>
      <c r="E193"/>
      <c r="F193"/>
      <c r="G193"/>
      <c r="H193"/>
    </row>
    <row r="194" spans="2:8" x14ac:dyDescent="0.25">
      <c r="B194" s="224" t="s">
        <v>201</v>
      </c>
      <c r="C194" s="224" t="s">
        <v>201</v>
      </c>
      <c r="D194" s="216"/>
      <c r="E194"/>
      <c r="F194"/>
      <c r="G194"/>
      <c r="H194"/>
    </row>
    <row r="195" spans="2:8" x14ac:dyDescent="0.25">
      <c r="B195" s="184" t="s">
        <v>202</v>
      </c>
      <c r="C195" s="184" t="s">
        <v>202</v>
      </c>
      <c r="D195" s="223">
        <v>0</v>
      </c>
      <c r="E195"/>
      <c r="F195"/>
      <c r="G195"/>
      <c r="H195"/>
    </row>
    <row r="196" spans="2:8" x14ac:dyDescent="0.25">
      <c r="B196" s="184" t="s">
        <v>203</v>
      </c>
      <c r="C196" s="184" t="s">
        <v>203</v>
      </c>
      <c r="D196" s="223">
        <v>1184648.29</v>
      </c>
      <c r="E196"/>
      <c r="F196"/>
      <c r="G196"/>
      <c r="H196"/>
    </row>
    <row r="197" spans="2:8" x14ac:dyDescent="0.25">
      <c r="B197" s="184" t="s">
        <v>204</v>
      </c>
      <c r="C197" s="184" t="s">
        <v>204</v>
      </c>
      <c r="D197" s="223">
        <v>424374.56</v>
      </c>
      <c r="E197"/>
      <c r="F197"/>
      <c r="G197"/>
      <c r="H197"/>
    </row>
    <row r="198" spans="2:8" x14ac:dyDescent="0.25">
      <c r="B198" s="184" t="s">
        <v>205</v>
      </c>
      <c r="C198" s="184" t="s">
        <v>205</v>
      </c>
      <c r="D198" s="223">
        <v>568853.37</v>
      </c>
      <c r="E198"/>
      <c r="F198"/>
      <c r="G198"/>
      <c r="H198"/>
    </row>
    <row r="199" spans="2:8" x14ac:dyDescent="0.25">
      <c r="B199" s="184" t="s">
        <v>206</v>
      </c>
      <c r="C199" s="184" t="s">
        <v>206</v>
      </c>
      <c r="D199" s="223">
        <v>0</v>
      </c>
      <c r="E199"/>
      <c r="F199"/>
      <c r="G199"/>
      <c r="H199"/>
    </row>
    <row r="200" spans="2:8" x14ac:dyDescent="0.25">
      <c r="B200" s="184" t="s">
        <v>207</v>
      </c>
      <c r="C200" s="184" t="s">
        <v>207</v>
      </c>
      <c r="D200" s="223">
        <v>19525.150000000001</v>
      </c>
      <c r="E200"/>
      <c r="F200"/>
      <c r="G200"/>
      <c r="H200"/>
    </row>
    <row r="201" spans="2:8" x14ac:dyDescent="0.25">
      <c r="B201" s="184" t="s">
        <v>208</v>
      </c>
      <c r="C201" s="184" t="s">
        <v>208</v>
      </c>
      <c r="D201" s="223">
        <v>258086.28999999998</v>
      </c>
      <c r="E201"/>
      <c r="F201"/>
      <c r="G201"/>
      <c r="H201"/>
    </row>
    <row r="202" spans="2:8" x14ac:dyDescent="0.25">
      <c r="B202" s="184" t="s">
        <v>209</v>
      </c>
      <c r="C202" s="184" t="s">
        <v>209</v>
      </c>
      <c r="D202" s="223">
        <v>282959.26999999996</v>
      </c>
      <c r="E202"/>
      <c r="F202"/>
      <c r="G202"/>
      <c r="H202"/>
    </row>
    <row r="203" spans="2:8" x14ac:dyDescent="0.25">
      <c r="B203" s="184" t="s">
        <v>226</v>
      </c>
      <c r="C203" s="184" t="s">
        <v>226</v>
      </c>
      <c r="D203" s="223">
        <v>338653.17000000004</v>
      </c>
      <c r="E203"/>
      <c r="F203"/>
      <c r="G203"/>
      <c r="H203"/>
    </row>
    <row r="204" spans="2:8" x14ac:dyDescent="0.25">
      <c r="B204" s="184" t="s">
        <v>211</v>
      </c>
      <c r="C204" s="184" t="s">
        <v>211</v>
      </c>
      <c r="D204" s="223">
        <v>504670.47</v>
      </c>
      <c r="E204"/>
      <c r="F204"/>
      <c r="G204"/>
      <c r="H204"/>
    </row>
    <row r="205" spans="2:8" x14ac:dyDescent="0.25">
      <c r="B205" s="184" t="s">
        <v>212</v>
      </c>
      <c r="C205" s="184" t="s">
        <v>212</v>
      </c>
      <c r="D205" s="223">
        <v>77122.069999999992</v>
      </c>
      <c r="E205"/>
      <c r="F205"/>
      <c r="G205"/>
      <c r="H205"/>
    </row>
    <row r="206" spans="2:8" x14ac:dyDescent="0.25">
      <c r="B206" s="184"/>
      <c r="C206" s="184"/>
      <c r="D206" s="216"/>
      <c r="E206"/>
      <c r="F206"/>
      <c r="G206"/>
      <c r="H206"/>
    </row>
    <row r="207" spans="2:8" ht="13.8" thickBot="1" x14ac:dyDescent="0.3">
      <c r="B207" s="184"/>
      <c r="C207" s="227" t="s">
        <v>238</v>
      </c>
      <c r="D207" s="228">
        <f>SUM(D191:D206)</f>
        <v>6113082.7899999991</v>
      </c>
      <c r="E207"/>
      <c r="F207"/>
      <c r="G207"/>
      <c r="H207"/>
    </row>
    <row r="208" spans="2:8" ht="13.8" thickTop="1" x14ac:dyDescent="0.25">
      <c r="B208" s="184"/>
      <c r="C208" s="184"/>
      <c r="D208" s="216"/>
      <c r="E208"/>
      <c r="F208"/>
      <c r="G208"/>
      <c r="H208"/>
    </row>
    <row r="209" spans="2:8" x14ac:dyDescent="0.25">
      <c r="B209" s="224" t="s">
        <v>239</v>
      </c>
      <c r="C209" s="184"/>
      <c r="D209" s="223"/>
      <c r="E209"/>
      <c r="F209"/>
      <c r="G209"/>
      <c r="H209"/>
    </row>
    <row r="210" spans="2:8" x14ac:dyDescent="0.25">
      <c r="B210" s="184" t="s">
        <v>240</v>
      </c>
      <c r="C210" s="312" t="s">
        <v>240</v>
      </c>
      <c r="D210" s="223">
        <v>1058687.83</v>
      </c>
      <c r="E210"/>
      <c r="F210"/>
      <c r="G210"/>
      <c r="H210"/>
    </row>
    <row r="211" spans="2:8" x14ac:dyDescent="0.25">
      <c r="B211" s="184" t="s">
        <v>236</v>
      </c>
      <c r="C211" s="184" t="s">
        <v>236</v>
      </c>
      <c r="D211" s="223">
        <v>0</v>
      </c>
      <c r="E211"/>
      <c r="F211"/>
      <c r="G211"/>
      <c r="H211"/>
    </row>
    <row r="212" spans="2:8" x14ac:dyDescent="0.25">
      <c r="B212" s="184" t="s">
        <v>241</v>
      </c>
      <c r="C212" s="184" t="s">
        <v>241</v>
      </c>
      <c r="D212" s="223">
        <v>0</v>
      </c>
      <c r="E212"/>
      <c r="F212"/>
      <c r="G212"/>
      <c r="H212"/>
    </row>
    <row r="213" spans="2:8" x14ac:dyDescent="0.25">
      <c r="B213" s="184" t="s">
        <v>242</v>
      </c>
      <c r="C213" s="184" t="s">
        <v>242</v>
      </c>
      <c r="D213" s="223">
        <v>0</v>
      </c>
      <c r="E213"/>
      <c r="F213"/>
      <c r="G213"/>
      <c r="H213"/>
    </row>
    <row r="214" spans="2:8" x14ac:dyDescent="0.25">
      <c r="B214" s="184" t="s">
        <v>243</v>
      </c>
      <c r="C214" s="184" t="s">
        <v>243</v>
      </c>
      <c r="D214" s="223">
        <v>0</v>
      </c>
      <c r="E214"/>
      <c r="F214"/>
      <c r="G214"/>
      <c r="H214"/>
    </row>
    <row r="215" spans="2:8" x14ac:dyDescent="0.25">
      <c r="B215" s="224" t="s">
        <v>201</v>
      </c>
      <c r="C215" s="224" t="s">
        <v>201</v>
      </c>
      <c r="D215" s="223"/>
      <c r="E215"/>
      <c r="F215"/>
      <c r="G215"/>
      <c r="H215"/>
    </row>
    <row r="216" spans="2:8" x14ac:dyDescent="0.25">
      <c r="B216" s="184" t="s">
        <v>202</v>
      </c>
      <c r="C216" s="184" t="s">
        <v>202</v>
      </c>
      <c r="D216" s="223">
        <v>0</v>
      </c>
      <c r="E216"/>
      <c r="F216"/>
      <c r="G216"/>
      <c r="H216"/>
    </row>
    <row r="217" spans="2:8" x14ac:dyDescent="0.25">
      <c r="B217" s="184" t="s">
        <v>203</v>
      </c>
      <c r="C217" s="184" t="s">
        <v>203</v>
      </c>
      <c r="D217" s="223">
        <v>2086618.8499999996</v>
      </c>
      <c r="E217"/>
      <c r="F217"/>
      <c r="G217"/>
      <c r="H217"/>
    </row>
    <row r="218" spans="2:8" x14ac:dyDescent="0.25">
      <c r="B218" s="184" t="s">
        <v>204</v>
      </c>
      <c r="C218" s="184" t="s">
        <v>204</v>
      </c>
      <c r="D218" s="223">
        <v>0</v>
      </c>
      <c r="E218"/>
      <c r="F218"/>
      <c r="G218"/>
      <c r="H218"/>
    </row>
    <row r="219" spans="2:8" x14ac:dyDescent="0.25">
      <c r="B219" s="184" t="s">
        <v>205</v>
      </c>
      <c r="C219" s="184" t="s">
        <v>205</v>
      </c>
      <c r="D219" s="223">
        <v>163019.81000000003</v>
      </c>
      <c r="E219"/>
      <c r="F219"/>
      <c r="G219"/>
      <c r="H219"/>
    </row>
    <row r="220" spans="2:8" x14ac:dyDescent="0.25">
      <c r="B220" s="184" t="s">
        <v>206</v>
      </c>
      <c r="C220" s="184" t="s">
        <v>206</v>
      </c>
      <c r="D220" s="223">
        <v>0</v>
      </c>
      <c r="E220"/>
      <c r="F220"/>
      <c r="G220"/>
      <c r="H220"/>
    </row>
    <row r="221" spans="2:8" x14ac:dyDescent="0.25">
      <c r="B221" s="234" t="s">
        <v>207</v>
      </c>
      <c r="C221" s="234" t="s">
        <v>207</v>
      </c>
      <c r="D221" s="238">
        <v>160452.46</v>
      </c>
      <c r="E221"/>
      <c r="F221"/>
      <c r="G221"/>
      <c r="H221"/>
    </row>
    <row r="222" spans="2:8" x14ac:dyDescent="0.25">
      <c r="B222" s="184" t="s">
        <v>208</v>
      </c>
      <c r="C222" s="184" t="s">
        <v>208</v>
      </c>
      <c r="D222" s="223">
        <v>0</v>
      </c>
      <c r="E222"/>
      <c r="F222"/>
      <c r="G222"/>
      <c r="H222"/>
    </row>
    <row r="223" spans="2:8" x14ac:dyDescent="0.25">
      <c r="B223" s="184" t="s">
        <v>209</v>
      </c>
      <c r="C223" s="184" t="s">
        <v>209</v>
      </c>
      <c r="D223" s="223">
        <v>212943.8</v>
      </c>
      <c r="E223"/>
      <c r="F223"/>
      <c r="G223"/>
      <c r="H223"/>
    </row>
    <row r="224" spans="2:8" x14ac:dyDescent="0.25">
      <c r="B224" s="184" t="s">
        <v>226</v>
      </c>
      <c r="C224" s="184" t="s">
        <v>226</v>
      </c>
      <c r="D224" s="223">
        <v>0</v>
      </c>
      <c r="E224"/>
      <c r="F224"/>
      <c r="G224"/>
      <c r="H224"/>
    </row>
    <row r="225" spans="2:8" x14ac:dyDescent="0.25">
      <c r="B225" s="184" t="s">
        <v>211</v>
      </c>
      <c r="C225" s="184" t="s">
        <v>211</v>
      </c>
      <c r="D225" s="223">
        <v>1180075.1099999999</v>
      </c>
      <c r="E225"/>
      <c r="F225"/>
      <c r="G225"/>
      <c r="H225"/>
    </row>
    <row r="226" spans="2:8" x14ac:dyDescent="0.25">
      <c r="B226" s="234" t="s">
        <v>212</v>
      </c>
      <c r="C226" s="234" t="s">
        <v>212</v>
      </c>
      <c r="D226" s="245">
        <v>42434.860000000008</v>
      </c>
      <c r="E226"/>
      <c r="F226"/>
      <c r="G226"/>
      <c r="H226"/>
    </row>
    <row r="227" spans="2:8" x14ac:dyDescent="0.25">
      <c r="B227" s="224" t="s">
        <v>216</v>
      </c>
      <c r="C227" s="224" t="s">
        <v>216</v>
      </c>
      <c r="D227" s="223"/>
      <c r="E227"/>
      <c r="F227"/>
      <c r="G227"/>
      <c r="H227"/>
    </row>
    <row r="228" spans="2:8" x14ac:dyDescent="0.25">
      <c r="B228" s="184" t="s">
        <v>244</v>
      </c>
      <c r="C228" s="184" t="s">
        <v>244</v>
      </c>
      <c r="D228" s="223">
        <v>0</v>
      </c>
      <c r="E228"/>
      <c r="F228"/>
      <c r="G228"/>
      <c r="H228"/>
    </row>
    <row r="229" spans="2:8" x14ac:dyDescent="0.25">
      <c r="B229" s="184" t="s">
        <v>245</v>
      </c>
      <c r="C229" s="184" t="s">
        <v>245</v>
      </c>
      <c r="D229" s="223">
        <v>1374259.93</v>
      </c>
      <c r="E229"/>
      <c r="F229"/>
      <c r="G229"/>
      <c r="H229"/>
    </row>
    <row r="230" spans="2:8" x14ac:dyDescent="0.25">
      <c r="B230" s="184"/>
      <c r="C230" s="224"/>
      <c r="D230" s="223"/>
      <c r="E230"/>
      <c r="F230"/>
      <c r="G230"/>
      <c r="H230"/>
    </row>
    <row r="231" spans="2:8" ht="13.8" thickBot="1" x14ac:dyDescent="0.3">
      <c r="B231" s="184"/>
      <c r="C231" s="227" t="s">
        <v>246</v>
      </c>
      <c r="D231" s="228">
        <f>SUM(D210:D230)</f>
        <v>6278492.6499999994</v>
      </c>
      <c r="E231"/>
      <c r="F231"/>
      <c r="G231"/>
      <c r="H231"/>
    </row>
    <row r="232" spans="2:8" ht="13.8" thickTop="1" x14ac:dyDescent="0.25">
      <c r="B232" s="184"/>
      <c r="C232" s="224"/>
      <c r="D232" s="223"/>
      <c r="E232"/>
      <c r="F232"/>
      <c r="G232"/>
      <c r="H232"/>
    </row>
    <row r="233" spans="2:8" x14ac:dyDescent="0.25">
      <c r="B233" s="224" t="s">
        <v>247</v>
      </c>
      <c r="C233" s="184"/>
      <c r="D233" s="223"/>
      <c r="E233"/>
      <c r="F233"/>
      <c r="G233"/>
      <c r="H233"/>
    </row>
    <row r="234" spans="2:8" x14ac:dyDescent="0.25">
      <c r="B234" s="184" t="s">
        <v>248</v>
      </c>
      <c r="C234" s="312" t="s">
        <v>248</v>
      </c>
      <c r="D234" s="223">
        <v>73368.990000000005</v>
      </c>
      <c r="E234"/>
      <c r="F234"/>
      <c r="G234"/>
      <c r="H234"/>
    </row>
    <row r="235" spans="2:8" x14ac:dyDescent="0.25">
      <c r="B235" s="184" t="s">
        <v>243</v>
      </c>
      <c r="C235" s="184" t="s">
        <v>243</v>
      </c>
      <c r="D235" s="223">
        <v>0</v>
      </c>
      <c r="E235"/>
      <c r="F235"/>
      <c r="G235"/>
      <c r="H235"/>
    </row>
    <row r="236" spans="2:8" x14ac:dyDescent="0.25">
      <c r="B236" s="224" t="s">
        <v>201</v>
      </c>
      <c r="C236" s="224" t="s">
        <v>201</v>
      </c>
      <c r="D236" s="223"/>
      <c r="E236"/>
      <c r="F236"/>
      <c r="G236"/>
      <c r="H236"/>
    </row>
    <row r="237" spans="2:8" x14ac:dyDescent="0.25">
      <c r="B237" s="184" t="s">
        <v>202</v>
      </c>
      <c r="C237" s="184" t="s">
        <v>202</v>
      </c>
      <c r="D237" s="223">
        <v>0</v>
      </c>
      <c r="E237"/>
      <c r="F237"/>
      <c r="G237"/>
      <c r="H237"/>
    </row>
    <row r="238" spans="2:8" x14ac:dyDescent="0.25">
      <c r="B238" s="184" t="s">
        <v>203</v>
      </c>
      <c r="C238" s="184" t="s">
        <v>203</v>
      </c>
      <c r="D238" s="223">
        <v>1026172.55</v>
      </c>
      <c r="E238"/>
      <c r="F238"/>
      <c r="G238"/>
      <c r="H238"/>
    </row>
    <row r="239" spans="2:8" x14ac:dyDescent="0.25">
      <c r="B239" s="184" t="s">
        <v>204</v>
      </c>
      <c r="C239" s="184" t="s">
        <v>204</v>
      </c>
      <c r="D239" s="223">
        <v>519500.06000000011</v>
      </c>
      <c r="E239"/>
      <c r="F239"/>
      <c r="G239"/>
      <c r="H239"/>
    </row>
    <row r="240" spans="2:8" x14ac:dyDescent="0.25">
      <c r="B240" s="184" t="s">
        <v>205</v>
      </c>
      <c r="C240" s="184" t="s">
        <v>205</v>
      </c>
      <c r="D240" s="223">
        <v>251929.83000000002</v>
      </c>
      <c r="E240"/>
      <c r="F240"/>
      <c r="G240"/>
      <c r="H240"/>
    </row>
    <row r="241" spans="2:8" x14ac:dyDescent="0.25">
      <c r="B241" s="184" t="s">
        <v>206</v>
      </c>
      <c r="C241" s="184" t="s">
        <v>206</v>
      </c>
      <c r="D241" s="223">
        <v>0</v>
      </c>
      <c r="E241"/>
      <c r="F241"/>
      <c r="G241"/>
      <c r="H241"/>
    </row>
    <row r="242" spans="2:8" x14ac:dyDescent="0.25">
      <c r="B242" s="184" t="s">
        <v>207</v>
      </c>
      <c r="C242" s="184" t="s">
        <v>207</v>
      </c>
      <c r="D242" s="223">
        <v>0</v>
      </c>
      <c r="E242"/>
      <c r="F242"/>
      <c r="G242"/>
      <c r="H242"/>
    </row>
    <row r="243" spans="2:8" x14ac:dyDescent="0.25">
      <c r="B243" s="184" t="s">
        <v>208</v>
      </c>
      <c r="C243" s="184" t="s">
        <v>208</v>
      </c>
      <c r="D243" s="223">
        <v>0</v>
      </c>
      <c r="E243"/>
      <c r="F243"/>
      <c r="G243"/>
      <c r="H243"/>
    </row>
    <row r="244" spans="2:8" x14ac:dyDescent="0.25">
      <c r="B244" s="184" t="s">
        <v>209</v>
      </c>
      <c r="C244" s="184" t="s">
        <v>209</v>
      </c>
      <c r="D244" s="223">
        <v>64230.810000000005</v>
      </c>
      <c r="E244"/>
      <c r="F244"/>
      <c r="G244"/>
      <c r="H244"/>
    </row>
    <row r="245" spans="2:8" x14ac:dyDescent="0.25">
      <c r="B245" s="184" t="s">
        <v>226</v>
      </c>
      <c r="C245" s="184" t="s">
        <v>226</v>
      </c>
      <c r="D245" s="223">
        <v>206747.25</v>
      </c>
      <c r="E245"/>
      <c r="F245"/>
      <c r="G245"/>
      <c r="H245"/>
    </row>
    <row r="246" spans="2:8" x14ac:dyDescent="0.25">
      <c r="B246" s="184" t="s">
        <v>211</v>
      </c>
      <c r="C246" s="184" t="s">
        <v>211</v>
      </c>
      <c r="D246" s="223">
        <v>167731.07</v>
      </c>
      <c r="E246"/>
      <c r="F246"/>
      <c r="G246"/>
      <c r="H246"/>
    </row>
    <row r="247" spans="2:8" x14ac:dyDescent="0.25">
      <c r="B247" s="184" t="s">
        <v>212</v>
      </c>
      <c r="C247" s="184" t="s">
        <v>212</v>
      </c>
      <c r="D247" s="223">
        <v>76509.91</v>
      </c>
      <c r="E247"/>
      <c r="F247"/>
      <c r="G247"/>
      <c r="H247"/>
    </row>
    <row r="248" spans="2:8" x14ac:dyDescent="0.25">
      <c r="B248" s="248" t="s">
        <v>216</v>
      </c>
      <c r="C248" s="248" t="s">
        <v>216</v>
      </c>
      <c r="D248" s="223">
        <v>0</v>
      </c>
      <c r="E248"/>
      <c r="F248"/>
      <c r="G248"/>
      <c r="H248"/>
    </row>
    <row r="249" spans="2:8" x14ac:dyDescent="0.25">
      <c r="B249" s="184" t="s">
        <v>251</v>
      </c>
      <c r="C249" s="184" t="s">
        <v>251</v>
      </c>
      <c r="D249" s="223">
        <v>0</v>
      </c>
      <c r="E249"/>
      <c r="F249"/>
      <c r="G249"/>
      <c r="H249"/>
    </row>
    <row r="250" spans="2:8" x14ac:dyDescent="0.25">
      <c r="B250" s="184" t="s">
        <v>252</v>
      </c>
      <c r="C250" s="184" t="s">
        <v>252</v>
      </c>
      <c r="D250" s="223">
        <v>0</v>
      </c>
      <c r="E250"/>
      <c r="F250"/>
      <c r="G250"/>
      <c r="H250"/>
    </row>
    <row r="251" spans="2:8" x14ac:dyDescent="0.25">
      <c r="B251" s="249" t="s">
        <v>253</v>
      </c>
      <c r="C251" s="249" t="s">
        <v>253</v>
      </c>
      <c r="D251" s="223">
        <v>200000</v>
      </c>
      <c r="E251"/>
      <c r="F251"/>
      <c r="G251"/>
      <c r="H251"/>
    </row>
    <row r="252" spans="2:8" x14ac:dyDescent="0.25">
      <c r="B252" s="249" t="s">
        <v>254</v>
      </c>
      <c r="C252" s="249" t="s">
        <v>254</v>
      </c>
      <c r="D252" s="223">
        <v>0</v>
      </c>
      <c r="E252"/>
      <c r="F252"/>
      <c r="G252"/>
      <c r="H252"/>
    </row>
    <row r="253" spans="2:8" x14ac:dyDescent="0.25">
      <c r="B253" s="249" t="s">
        <v>503</v>
      </c>
      <c r="C253" s="249" t="s">
        <v>503</v>
      </c>
      <c r="D253" s="223">
        <v>0</v>
      </c>
      <c r="E253" s="123" t="s">
        <v>516</v>
      </c>
      <c r="F253"/>
      <c r="G253"/>
      <c r="H253"/>
    </row>
    <row r="254" spans="2:8" x14ac:dyDescent="0.25">
      <c r="B254" s="249"/>
      <c r="C254" s="184"/>
      <c r="D254" s="216"/>
      <c r="E254"/>
      <c r="F254"/>
      <c r="G254"/>
      <c r="H254"/>
    </row>
    <row r="255" spans="2:8" ht="13.8" thickBot="1" x14ac:dyDescent="0.3">
      <c r="B255" s="184"/>
      <c r="C255" s="227" t="s">
        <v>255</v>
      </c>
      <c r="D255" s="228">
        <f>SUM(D234:D254)</f>
        <v>2586190.4700000002</v>
      </c>
      <c r="E255"/>
      <c r="F255"/>
      <c r="G255"/>
      <c r="H255"/>
    </row>
    <row r="256" spans="2:8" ht="13.8" thickTop="1" x14ac:dyDescent="0.25">
      <c r="B256" s="184"/>
      <c r="C256" s="224"/>
      <c r="D256" s="212"/>
      <c r="E256"/>
      <c r="F256"/>
      <c r="G256"/>
      <c r="H256"/>
    </row>
    <row r="257" spans="2:8" x14ac:dyDescent="0.25">
      <c r="B257" s="224" t="s">
        <v>256</v>
      </c>
      <c r="C257" s="184"/>
      <c r="D257" s="223"/>
      <c r="E257"/>
      <c r="F257"/>
      <c r="G257"/>
      <c r="H257"/>
    </row>
    <row r="258" spans="2:8" hidden="1" x14ac:dyDescent="0.25">
      <c r="B258" s="184"/>
      <c r="C258" s="329" t="s">
        <v>257</v>
      </c>
      <c r="D258" s="223">
        <v>0</v>
      </c>
      <c r="E258"/>
      <c r="F258"/>
      <c r="G258"/>
      <c r="H258"/>
    </row>
    <row r="259" spans="2:8" hidden="1" x14ac:dyDescent="0.25">
      <c r="B259" s="184"/>
      <c r="C259" s="329" t="s">
        <v>258</v>
      </c>
      <c r="D259" s="223">
        <v>0</v>
      </c>
      <c r="E259"/>
      <c r="F259"/>
      <c r="G259"/>
      <c r="H259"/>
    </row>
    <row r="260" spans="2:8" hidden="1" x14ac:dyDescent="0.25">
      <c r="B260" s="184"/>
      <c r="C260" s="224" t="s">
        <v>201</v>
      </c>
      <c r="D260" s="223"/>
      <c r="E260"/>
      <c r="F260"/>
      <c r="G260"/>
      <c r="H260"/>
    </row>
    <row r="261" spans="2:8" hidden="1" x14ac:dyDescent="0.25">
      <c r="B261" s="184"/>
      <c r="C261" s="329" t="s">
        <v>202</v>
      </c>
      <c r="D261" s="223">
        <v>0</v>
      </c>
      <c r="E261"/>
      <c r="F261"/>
      <c r="G261"/>
      <c r="H261"/>
    </row>
    <row r="262" spans="2:8" x14ac:dyDescent="0.25">
      <c r="B262" s="184" t="s">
        <v>203</v>
      </c>
      <c r="C262" s="184" t="s">
        <v>203</v>
      </c>
      <c r="D262" s="223">
        <v>1415819.2899999998</v>
      </c>
      <c r="E262"/>
      <c r="F262"/>
      <c r="G262"/>
      <c r="H262"/>
    </row>
    <row r="263" spans="2:8" x14ac:dyDescent="0.25">
      <c r="B263" s="184" t="s">
        <v>204</v>
      </c>
      <c r="C263" s="184" t="s">
        <v>204</v>
      </c>
      <c r="D263" s="223">
        <v>1473.29</v>
      </c>
      <c r="E263"/>
      <c r="F263"/>
      <c r="G263"/>
      <c r="H263"/>
    </row>
    <row r="264" spans="2:8" hidden="1" x14ac:dyDescent="0.25">
      <c r="B264" s="184" t="s">
        <v>205</v>
      </c>
      <c r="C264" s="329" t="s">
        <v>205</v>
      </c>
      <c r="D264" s="223">
        <v>0</v>
      </c>
      <c r="E264"/>
      <c r="F264"/>
      <c r="G264"/>
      <c r="H264"/>
    </row>
    <row r="265" spans="2:8" hidden="1" x14ac:dyDescent="0.25">
      <c r="B265" s="184" t="s">
        <v>206</v>
      </c>
      <c r="C265" s="329" t="s">
        <v>206</v>
      </c>
      <c r="D265" s="223">
        <v>0</v>
      </c>
      <c r="E265"/>
      <c r="F265"/>
      <c r="G265"/>
      <c r="H265"/>
    </row>
    <row r="266" spans="2:8" x14ac:dyDescent="0.25">
      <c r="B266" s="184" t="s">
        <v>207</v>
      </c>
      <c r="C266" s="184" t="s">
        <v>207</v>
      </c>
      <c r="D266" s="223">
        <v>351872.02</v>
      </c>
      <c r="E266"/>
      <c r="F266"/>
      <c r="G266"/>
      <c r="H266"/>
    </row>
    <row r="267" spans="2:8" hidden="1" x14ac:dyDescent="0.25">
      <c r="B267" s="184" t="s">
        <v>208</v>
      </c>
      <c r="C267" s="329" t="s">
        <v>208</v>
      </c>
      <c r="D267" s="223">
        <v>0</v>
      </c>
      <c r="E267"/>
      <c r="F267"/>
      <c r="G267"/>
      <c r="H267"/>
    </row>
    <row r="268" spans="2:8" x14ac:dyDescent="0.25">
      <c r="B268" s="184" t="s">
        <v>209</v>
      </c>
      <c r="C268" s="184" t="s">
        <v>209</v>
      </c>
      <c r="D268" s="223">
        <v>33258.36</v>
      </c>
      <c r="E268"/>
      <c r="F268"/>
      <c r="G268"/>
      <c r="H268"/>
    </row>
    <row r="269" spans="2:8" x14ac:dyDescent="0.25">
      <c r="B269" s="184" t="s">
        <v>226</v>
      </c>
      <c r="C269" s="184" t="s">
        <v>226</v>
      </c>
      <c r="D269" s="223">
        <v>0</v>
      </c>
      <c r="E269"/>
      <c r="F269"/>
      <c r="G269"/>
      <c r="H269"/>
    </row>
    <row r="270" spans="2:8" x14ac:dyDescent="0.25">
      <c r="B270" s="184" t="s">
        <v>211</v>
      </c>
      <c r="C270" s="184" t="s">
        <v>211</v>
      </c>
      <c r="D270" s="223">
        <v>29094.27</v>
      </c>
      <c r="E270"/>
      <c r="F270"/>
      <c r="G270"/>
      <c r="H270"/>
    </row>
    <row r="271" spans="2:8" x14ac:dyDescent="0.25">
      <c r="B271" s="184" t="s">
        <v>212</v>
      </c>
      <c r="C271" s="184" t="s">
        <v>212</v>
      </c>
      <c r="D271" s="223">
        <v>275132.16000000003</v>
      </c>
      <c r="E271"/>
      <c r="F271"/>
      <c r="G271"/>
      <c r="H271"/>
    </row>
    <row r="272" spans="2:8" x14ac:dyDescent="0.25">
      <c r="B272" s="224" t="s">
        <v>216</v>
      </c>
      <c r="C272" s="224" t="s">
        <v>216</v>
      </c>
      <c r="D272" s="223"/>
      <c r="E272"/>
      <c r="F272"/>
      <c r="G272"/>
      <c r="H272"/>
    </row>
    <row r="273" spans="2:8" x14ac:dyDescent="0.25">
      <c r="B273" s="184" t="s">
        <v>259</v>
      </c>
      <c r="C273" s="184" t="s">
        <v>259</v>
      </c>
      <c r="D273" s="223">
        <v>0</v>
      </c>
      <c r="E273"/>
      <c r="F273"/>
      <c r="G273"/>
      <c r="H273"/>
    </row>
    <row r="274" spans="2:8" x14ac:dyDescent="0.25">
      <c r="B274" s="184"/>
      <c r="C274" s="184"/>
      <c r="D274" s="216"/>
      <c r="E274"/>
      <c r="F274"/>
      <c r="G274"/>
      <c r="H274"/>
    </row>
    <row r="275" spans="2:8" ht="13.8" thickBot="1" x14ac:dyDescent="0.3">
      <c r="B275" s="184"/>
      <c r="C275" s="227" t="s">
        <v>260</v>
      </c>
      <c r="D275" s="228">
        <f>SUM(D258:D274)</f>
        <v>2106649.39</v>
      </c>
      <c r="E275"/>
      <c r="F275"/>
      <c r="G275"/>
      <c r="H275"/>
    </row>
    <row r="276" spans="2:8" ht="13.8" thickTop="1" x14ac:dyDescent="0.25">
      <c r="B276" s="184"/>
      <c r="C276" s="184"/>
      <c r="D276" s="216"/>
      <c r="E276"/>
      <c r="F276"/>
      <c r="G276"/>
      <c r="H276"/>
    </row>
    <row r="277" spans="2:8" x14ac:dyDescent="0.25">
      <c r="B277" s="224" t="s">
        <v>261</v>
      </c>
      <c r="C277" s="184"/>
      <c r="D277" s="216"/>
      <c r="E277"/>
      <c r="F277"/>
      <c r="G277"/>
      <c r="H277"/>
    </row>
    <row r="278" spans="2:8" x14ac:dyDescent="0.25">
      <c r="B278" s="184"/>
      <c r="C278" s="184" t="s">
        <v>257</v>
      </c>
      <c r="D278" s="223">
        <v>0</v>
      </c>
      <c r="E278" s="123" t="s">
        <v>504</v>
      </c>
      <c r="F278"/>
      <c r="G278"/>
      <c r="H278"/>
    </row>
    <row r="279" spans="2:8" x14ac:dyDescent="0.25">
      <c r="B279" s="184"/>
      <c r="C279" s="224" t="s">
        <v>201</v>
      </c>
      <c r="D279" s="216"/>
      <c r="E279"/>
      <c r="F279"/>
      <c r="G279"/>
      <c r="H279"/>
    </row>
    <row r="280" spans="2:8" x14ac:dyDescent="0.25">
      <c r="B280" s="184" t="s">
        <v>202</v>
      </c>
      <c r="C280" s="184" t="s">
        <v>202</v>
      </c>
      <c r="D280" s="223">
        <v>0</v>
      </c>
      <c r="E280"/>
      <c r="F280"/>
      <c r="G280"/>
      <c r="H280"/>
    </row>
    <row r="281" spans="2:8" x14ac:dyDescent="0.25">
      <c r="B281" s="184" t="s">
        <v>203</v>
      </c>
      <c r="C281" s="184" t="s">
        <v>203</v>
      </c>
      <c r="D281" s="223">
        <v>1575389.58</v>
      </c>
      <c r="E281"/>
      <c r="F281"/>
      <c r="G281"/>
      <c r="H281"/>
    </row>
    <row r="282" spans="2:8" hidden="1" x14ac:dyDescent="0.25">
      <c r="B282" s="184" t="s">
        <v>204</v>
      </c>
      <c r="C282" s="329" t="s">
        <v>204</v>
      </c>
      <c r="D282" s="223">
        <v>0</v>
      </c>
      <c r="E282"/>
      <c r="F282"/>
      <c r="G282"/>
      <c r="H282"/>
    </row>
    <row r="283" spans="2:8" hidden="1" x14ac:dyDescent="0.25">
      <c r="B283" s="184" t="s">
        <v>205</v>
      </c>
      <c r="C283" s="329" t="s">
        <v>205</v>
      </c>
      <c r="D283" s="223">
        <v>0</v>
      </c>
      <c r="E283"/>
      <c r="F283"/>
      <c r="G283"/>
      <c r="H283"/>
    </row>
    <row r="284" spans="2:8" hidden="1" x14ac:dyDescent="0.25">
      <c r="B284" s="184" t="s">
        <v>206</v>
      </c>
      <c r="C284" s="329" t="s">
        <v>206</v>
      </c>
      <c r="D284" s="223">
        <v>0</v>
      </c>
      <c r="E284"/>
      <c r="F284"/>
      <c r="G284"/>
      <c r="H284"/>
    </row>
    <row r="285" spans="2:8" x14ac:dyDescent="0.25">
      <c r="B285" s="184" t="s">
        <v>207</v>
      </c>
      <c r="C285" s="184" t="s">
        <v>207</v>
      </c>
      <c r="D285" s="223">
        <v>73984.89</v>
      </c>
      <c r="E285"/>
      <c r="F285"/>
      <c r="G285"/>
      <c r="H285"/>
    </row>
    <row r="286" spans="2:8" x14ac:dyDescent="0.25">
      <c r="B286" s="184" t="s">
        <v>208</v>
      </c>
      <c r="C286" s="184" t="s">
        <v>208</v>
      </c>
      <c r="D286" s="223">
        <v>0</v>
      </c>
      <c r="E286"/>
      <c r="F286"/>
      <c r="G286"/>
      <c r="H286"/>
    </row>
    <row r="287" spans="2:8" x14ac:dyDescent="0.25">
      <c r="B287" s="184" t="s">
        <v>209</v>
      </c>
      <c r="C287" s="184" t="s">
        <v>209</v>
      </c>
      <c r="D287" s="223">
        <v>44154.12</v>
      </c>
      <c r="E287"/>
      <c r="F287"/>
      <c r="G287"/>
      <c r="H287"/>
    </row>
    <row r="288" spans="2:8" x14ac:dyDescent="0.25">
      <c r="B288" s="184" t="s">
        <v>226</v>
      </c>
      <c r="C288" s="184" t="s">
        <v>226</v>
      </c>
      <c r="D288" s="223">
        <v>0</v>
      </c>
      <c r="E288"/>
      <c r="F288"/>
      <c r="G288"/>
      <c r="H288"/>
    </row>
    <row r="289" spans="2:8" x14ac:dyDescent="0.25">
      <c r="B289" s="184" t="s">
        <v>211</v>
      </c>
      <c r="C289" s="184" t="s">
        <v>211</v>
      </c>
      <c r="D289" s="223">
        <v>33572.51</v>
      </c>
      <c r="E289"/>
      <c r="F289"/>
      <c r="G289"/>
      <c r="H289"/>
    </row>
    <row r="290" spans="2:8" x14ac:dyDescent="0.25">
      <c r="B290" s="184" t="s">
        <v>212</v>
      </c>
      <c r="C290" s="184" t="s">
        <v>212</v>
      </c>
      <c r="D290" s="223">
        <v>0</v>
      </c>
      <c r="E290"/>
      <c r="F290"/>
      <c r="G290"/>
      <c r="H290"/>
    </row>
    <row r="291" spans="2:8" x14ac:dyDescent="0.25">
      <c r="B291" s="224" t="s">
        <v>216</v>
      </c>
      <c r="C291" s="224" t="s">
        <v>216</v>
      </c>
      <c r="D291" s="223"/>
      <c r="E291"/>
      <c r="F291"/>
      <c r="G291"/>
      <c r="H291"/>
    </row>
    <row r="292" spans="2:8" x14ac:dyDescent="0.25">
      <c r="B292" s="184"/>
      <c r="C292" s="184"/>
      <c r="D292" s="216"/>
      <c r="E292"/>
      <c r="F292"/>
      <c r="G292"/>
      <c r="H292"/>
    </row>
    <row r="293" spans="2:8" ht="13.8" thickBot="1" x14ac:dyDescent="0.3">
      <c r="B293" s="184"/>
      <c r="C293" s="227" t="s">
        <v>262</v>
      </c>
      <c r="D293" s="251">
        <f>SUM(D278:D292)</f>
        <v>1727101.1</v>
      </c>
      <c r="E293"/>
      <c r="F293"/>
      <c r="G293"/>
      <c r="H293"/>
    </row>
    <row r="294" spans="2:8" ht="13.8" thickTop="1" x14ac:dyDescent="0.25">
      <c r="B294" s="184"/>
      <c r="C294" s="184"/>
      <c r="D294" s="216"/>
      <c r="E294"/>
      <c r="F294"/>
      <c r="G294"/>
      <c r="H294"/>
    </row>
    <row r="295" spans="2:8" x14ac:dyDescent="0.25">
      <c r="B295" s="224" t="s">
        <v>263</v>
      </c>
      <c r="C295" s="184"/>
      <c r="D295" s="216"/>
      <c r="E295"/>
      <c r="F295"/>
      <c r="G295"/>
      <c r="H295"/>
    </row>
    <row r="296" spans="2:8" x14ac:dyDescent="0.25">
      <c r="B296" s="184" t="s">
        <v>264</v>
      </c>
      <c r="C296" s="184" t="s">
        <v>264</v>
      </c>
      <c r="D296" s="223">
        <v>0</v>
      </c>
      <c r="E296"/>
      <c r="F296"/>
      <c r="G296"/>
      <c r="H296"/>
    </row>
    <row r="297" spans="2:8" x14ac:dyDescent="0.25">
      <c r="B297" s="184" t="s">
        <v>257</v>
      </c>
      <c r="C297" s="184" t="s">
        <v>257</v>
      </c>
      <c r="D297" s="223">
        <v>0</v>
      </c>
      <c r="E297"/>
      <c r="F297"/>
      <c r="G297"/>
      <c r="H297"/>
    </row>
    <row r="298" spans="2:8" x14ac:dyDescent="0.25">
      <c r="B298" s="184" t="s">
        <v>265</v>
      </c>
      <c r="C298" s="184" t="s">
        <v>265</v>
      </c>
      <c r="D298" s="223">
        <v>0</v>
      </c>
      <c r="E298"/>
      <c r="F298"/>
      <c r="G298"/>
      <c r="H298"/>
    </row>
    <row r="299" spans="2:8" x14ac:dyDescent="0.25">
      <c r="B299" s="224" t="s">
        <v>201</v>
      </c>
      <c r="C299" s="224" t="s">
        <v>201</v>
      </c>
      <c r="D299" s="223"/>
      <c r="E299"/>
      <c r="F299"/>
      <c r="G299"/>
      <c r="H299"/>
    </row>
    <row r="300" spans="2:8" x14ac:dyDescent="0.25">
      <c r="B300" s="184" t="s">
        <v>202</v>
      </c>
      <c r="C300" s="184" t="s">
        <v>202</v>
      </c>
      <c r="D300" s="223">
        <v>0</v>
      </c>
      <c r="E300"/>
      <c r="F300"/>
      <c r="G300"/>
      <c r="H300"/>
    </row>
    <row r="301" spans="2:8" x14ac:dyDescent="0.25">
      <c r="B301" s="184" t="s">
        <v>203</v>
      </c>
      <c r="C301" s="184" t="s">
        <v>203</v>
      </c>
      <c r="D301" s="223">
        <v>89533.01</v>
      </c>
      <c r="E301"/>
      <c r="F301"/>
      <c r="G301"/>
      <c r="H301"/>
    </row>
    <row r="302" spans="2:8" x14ac:dyDescent="0.25">
      <c r="B302" s="184" t="s">
        <v>204</v>
      </c>
      <c r="C302" s="184" t="s">
        <v>204</v>
      </c>
      <c r="D302" s="223">
        <v>0</v>
      </c>
      <c r="E302"/>
      <c r="F302"/>
      <c r="G302"/>
      <c r="H302"/>
    </row>
    <row r="303" spans="2:8" x14ac:dyDescent="0.25">
      <c r="B303" s="184" t="s">
        <v>205</v>
      </c>
      <c r="C303" s="184" t="s">
        <v>205</v>
      </c>
      <c r="D303" s="223">
        <v>0</v>
      </c>
      <c r="E303"/>
      <c r="F303"/>
      <c r="G303"/>
      <c r="H303"/>
    </row>
    <row r="304" spans="2:8" x14ac:dyDescent="0.25">
      <c r="B304" s="184" t="s">
        <v>206</v>
      </c>
      <c r="C304" s="184" t="s">
        <v>206</v>
      </c>
      <c r="D304" s="223">
        <v>0</v>
      </c>
      <c r="E304"/>
      <c r="F304"/>
      <c r="G304"/>
      <c r="H304"/>
    </row>
    <row r="305" spans="2:8" x14ac:dyDescent="0.25">
      <c r="B305" s="184" t="s">
        <v>207</v>
      </c>
      <c r="C305" s="184" t="s">
        <v>207</v>
      </c>
      <c r="D305" s="223">
        <v>0</v>
      </c>
      <c r="E305"/>
      <c r="F305"/>
      <c r="G305"/>
      <c r="H305"/>
    </row>
    <row r="306" spans="2:8" x14ac:dyDescent="0.25">
      <c r="B306" s="184" t="s">
        <v>208</v>
      </c>
      <c r="C306" s="184" t="s">
        <v>208</v>
      </c>
      <c r="D306" s="223">
        <v>0</v>
      </c>
      <c r="E306"/>
      <c r="F306"/>
      <c r="G306"/>
      <c r="H306"/>
    </row>
    <row r="307" spans="2:8" x14ac:dyDescent="0.25">
      <c r="B307" s="184" t="s">
        <v>209</v>
      </c>
      <c r="C307" s="184" t="s">
        <v>209</v>
      </c>
      <c r="D307" s="223">
        <v>9878.9699999999993</v>
      </c>
      <c r="E307"/>
      <c r="F307"/>
      <c r="G307"/>
      <c r="H307"/>
    </row>
    <row r="308" spans="2:8" x14ac:dyDescent="0.25">
      <c r="B308" s="184" t="s">
        <v>226</v>
      </c>
      <c r="C308" s="184" t="s">
        <v>226</v>
      </c>
      <c r="D308" s="223">
        <v>0</v>
      </c>
      <c r="E308"/>
      <c r="F308"/>
      <c r="G308"/>
      <c r="H308"/>
    </row>
    <row r="309" spans="2:8" x14ac:dyDescent="0.25">
      <c r="B309" s="184" t="s">
        <v>211</v>
      </c>
      <c r="C309" s="184" t="s">
        <v>211</v>
      </c>
      <c r="D309" s="223">
        <v>0</v>
      </c>
      <c r="E309"/>
      <c r="F309"/>
      <c r="G309"/>
      <c r="H309"/>
    </row>
    <row r="310" spans="2:8" x14ac:dyDescent="0.25">
      <c r="B310" s="184" t="s">
        <v>212</v>
      </c>
      <c r="C310" s="184" t="s">
        <v>212</v>
      </c>
      <c r="D310" s="223">
        <v>0</v>
      </c>
      <c r="E310"/>
      <c r="F310"/>
      <c r="G310"/>
      <c r="H310"/>
    </row>
    <row r="311" spans="2:8" x14ac:dyDescent="0.25">
      <c r="B311" s="224" t="s">
        <v>216</v>
      </c>
      <c r="C311" s="224" t="s">
        <v>216</v>
      </c>
      <c r="D311" s="223"/>
      <c r="E311"/>
      <c r="F311"/>
      <c r="G311"/>
      <c r="H311"/>
    </row>
    <row r="312" spans="2:8" x14ac:dyDescent="0.25">
      <c r="B312" s="184" t="s">
        <v>266</v>
      </c>
      <c r="C312" s="184" t="s">
        <v>266</v>
      </c>
      <c r="D312" s="223">
        <v>0</v>
      </c>
      <c r="E312"/>
      <c r="F312"/>
      <c r="G312"/>
      <c r="H312"/>
    </row>
    <row r="313" spans="2:8" x14ac:dyDescent="0.25">
      <c r="B313" s="184" t="s">
        <v>245</v>
      </c>
      <c r="C313" s="184" t="s">
        <v>245</v>
      </c>
      <c r="D313" s="223">
        <v>0</v>
      </c>
      <c r="E313"/>
      <c r="F313"/>
      <c r="G313"/>
      <c r="H313"/>
    </row>
    <row r="314" spans="2:8" x14ac:dyDescent="0.25">
      <c r="B314" s="184"/>
      <c r="C314" s="184"/>
      <c r="D314" s="216"/>
      <c r="E314"/>
      <c r="F314"/>
      <c r="G314"/>
      <c r="H314"/>
    </row>
    <row r="315" spans="2:8" ht="13.8" thickBot="1" x14ac:dyDescent="0.3">
      <c r="B315" s="184"/>
      <c r="C315" s="227" t="s">
        <v>267</v>
      </c>
      <c r="D315" s="252">
        <f>SUM(D296:D314)</f>
        <v>99411.98</v>
      </c>
      <c r="E315"/>
      <c r="F315"/>
      <c r="G315"/>
      <c r="H315"/>
    </row>
    <row r="316" spans="2:8" ht="13.8" thickTop="1" x14ac:dyDescent="0.25">
      <c r="B316" s="184"/>
      <c r="C316" s="184"/>
      <c r="D316" s="216"/>
      <c r="E316"/>
      <c r="F316"/>
      <c r="G316"/>
      <c r="H316"/>
    </row>
    <row r="317" spans="2:8" x14ac:dyDescent="0.25">
      <c r="B317" s="224" t="s">
        <v>198</v>
      </c>
      <c r="C317" s="184"/>
      <c r="D317" s="216"/>
      <c r="E317"/>
      <c r="F317"/>
      <c r="G317"/>
      <c r="H317"/>
    </row>
    <row r="318" spans="2:8" hidden="1" x14ac:dyDescent="0.25">
      <c r="B318" s="184"/>
      <c r="C318" s="329" t="s">
        <v>268</v>
      </c>
      <c r="D318" s="232">
        <v>0</v>
      </c>
      <c r="E318"/>
      <c r="F318"/>
      <c r="G318"/>
      <c r="H318"/>
    </row>
    <row r="319" spans="2:8" hidden="1" x14ac:dyDescent="0.25">
      <c r="B319" s="184"/>
      <c r="C319" s="329" t="s">
        <v>269</v>
      </c>
      <c r="D319" s="232">
        <v>0</v>
      </c>
      <c r="E319"/>
      <c r="F319"/>
      <c r="G319"/>
      <c r="H319"/>
    </row>
    <row r="320" spans="2:8" hidden="1" x14ac:dyDescent="0.25">
      <c r="B320" s="184"/>
      <c r="C320" s="224" t="s">
        <v>201</v>
      </c>
      <c r="D320" s="216"/>
      <c r="E320"/>
      <c r="F320"/>
      <c r="G320"/>
      <c r="H320"/>
    </row>
    <row r="321" spans="2:8" hidden="1" x14ac:dyDescent="0.25">
      <c r="B321" s="184"/>
      <c r="C321" s="329" t="s">
        <v>202</v>
      </c>
      <c r="D321" s="223">
        <v>0</v>
      </c>
      <c r="E321"/>
      <c r="F321"/>
      <c r="G321"/>
      <c r="H321"/>
    </row>
    <row r="322" spans="2:8" x14ac:dyDescent="0.25">
      <c r="B322" s="184" t="s">
        <v>203</v>
      </c>
      <c r="C322" s="184" t="s">
        <v>203</v>
      </c>
      <c r="D322" s="223">
        <v>16004.89</v>
      </c>
      <c r="E322"/>
      <c r="F322"/>
      <c r="G322"/>
      <c r="H322"/>
    </row>
    <row r="323" spans="2:8" x14ac:dyDescent="0.25">
      <c r="B323" s="184" t="s">
        <v>204</v>
      </c>
      <c r="C323" s="184" t="s">
        <v>204</v>
      </c>
      <c r="D323" s="223">
        <v>0</v>
      </c>
      <c r="E323"/>
      <c r="F323"/>
      <c r="G323"/>
      <c r="H323"/>
    </row>
    <row r="324" spans="2:8" x14ac:dyDescent="0.25">
      <c r="B324" s="184" t="s">
        <v>205</v>
      </c>
      <c r="C324" s="184" t="s">
        <v>205</v>
      </c>
      <c r="D324" s="223">
        <v>0</v>
      </c>
      <c r="E324"/>
      <c r="F324"/>
      <c r="G324"/>
      <c r="H324"/>
    </row>
    <row r="325" spans="2:8" x14ac:dyDescent="0.25">
      <c r="B325" s="184" t="s">
        <v>206</v>
      </c>
      <c r="C325" s="184" t="s">
        <v>206</v>
      </c>
      <c r="D325" s="223">
        <v>0</v>
      </c>
      <c r="E325"/>
      <c r="F325"/>
      <c r="G325"/>
      <c r="H325"/>
    </row>
    <row r="326" spans="2:8" x14ac:dyDescent="0.25">
      <c r="B326" s="184" t="s">
        <v>207</v>
      </c>
      <c r="C326" s="184" t="s">
        <v>207</v>
      </c>
      <c r="D326" s="223">
        <v>0</v>
      </c>
      <c r="E326"/>
      <c r="F326"/>
      <c r="G326"/>
      <c r="H326"/>
    </row>
    <row r="327" spans="2:8" x14ac:dyDescent="0.25">
      <c r="B327" s="184" t="s">
        <v>208</v>
      </c>
      <c r="C327" s="184" t="s">
        <v>208</v>
      </c>
      <c r="D327" s="223">
        <v>0</v>
      </c>
      <c r="E327"/>
      <c r="F327"/>
      <c r="G327"/>
      <c r="H327"/>
    </row>
    <row r="328" spans="2:8" x14ac:dyDescent="0.25">
      <c r="B328" s="184" t="s">
        <v>209</v>
      </c>
      <c r="C328" s="184" t="s">
        <v>209</v>
      </c>
      <c r="D328" s="223">
        <v>0</v>
      </c>
      <c r="E328"/>
      <c r="F328"/>
      <c r="G328"/>
      <c r="H328"/>
    </row>
    <row r="329" spans="2:8" x14ac:dyDescent="0.25">
      <c r="B329" s="184" t="s">
        <v>226</v>
      </c>
      <c r="C329" s="184" t="s">
        <v>226</v>
      </c>
      <c r="D329" s="223">
        <v>0</v>
      </c>
      <c r="E329"/>
      <c r="F329"/>
      <c r="G329"/>
      <c r="H329"/>
    </row>
    <row r="330" spans="2:8" x14ac:dyDescent="0.25">
      <c r="B330" s="184" t="s">
        <v>211</v>
      </c>
      <c r="C330" s="184" t="s">
        <v>211</v>
      </c>
      <c r="D330" s="223">
        <v>0</v>
      </c>
      <c r="E330"/>
      <c r="F330"/>
      <c r="G330"/>
      <c r="H330"/>
    </row>
    <row r="331" spans="2:8" x14ac:dyDescent="0.25">
      <c r="B331" s="184" t="s">
        <v>212</v>
      </c>
      <c r="C331" s="184" t="s">
        <v>212</v>
      </c>
      <c r="D331" s="223">
        <v>2521.69</v>
      </c>
      <c r="E331"/>
      <c r="F331"/>
      <c r="G331"/>
      <c r="H331"/>
    </row>
    <row r="332" spans="2:8" x14ac:dyDescent="0.25">
      <c r="B332" s="224" t="s">
        <v>216</v>
      </c>
      <c r="C332" s="224" t="s">
        <v>216</v>
      </c>
      <c r="D332" s="223"/>
      <c r="E332"/>
      <c r="F332"/>
      <c r="G332"/>
      <c r="H332"/>
    </row>
    <row r="333" spans="2:8" hidden="1" x14ac:dyDescent="0.25">
      <c r="B333" s="184" t="s">
        <v>271</v>
      </c>
      <c r="C333" s="329" t="s">
        <v>271</v>
      </c>
      <c r="D333" s="223">
        <v>0</v>
      </c>
      <c r="E333"/>
      <c r="F333"/>
      <c r="G333"/>
      <c r="H333"/>
    </row>
    <row r="334" spans="2:8" hidden="1" x14ac:dyDescent="0.25">
      <c r="B334" s="184" t="s">
        <v>272</v>
      </c>
      <c r="C334" s="329" t="s">
        <v>272</v>
      </c>
      <c r="D334" s="223">
        <v>0</v>
      </c>
      <c r="E334"/>
      <c r="F334"/>
      <c r="G334"/>
      <c r="H334"/>
    </row>
    <row r="335" spans="2:8" hidden="1" x14ac:dyDescent="0.25">
      <c r="B335" s="184" t="s">
        <v>273</v>
      </c>
      <c r="C335" s="329" t="s">
        <v>273</v>
      </c>
      <c r="D335" s="223">
        <v>0</v>
      </c>
      <c r="E335"/>
      <c r="F335"/>
      <c r="G335"/>
      <c r="H335"/>
    </row>
    <row r="336" spans="2:8" x14ac:dyDescent="0.25">
      <c r="B336" s="184"/>
      <c r="C336" s="184"/>
      <c r="D336" s="216"/>
      <c r="E336"/>
      <c r="F336"/>
      <c r="G336"/>
      <c r="H336"/>
    </row>
    <row r="337" spans="2:8" ht="13.8" thickBot="1" x14ac:dyDescent="0.3">
      <c r="B337" s="184"/>
      <c r="C337" s="227" t="s">
        <v>218</v>
      </c>
      <c r="D337" s="252">
        <f>SUM(D318:D336)</f>
        <v>18526.579999999998</v>
      </c>
      <c r="E337"/>
      <c r="F337"/>
      <c r="G337"/>
      <c r="H337"/>
    </row>
    <row r="338" spans="2:8" ht="13.8" thickTop="1" x14ac:dyDescent="0.25">
      <c r="B338" s="184"/>
      <c r="C338" s="184"/>
      <c r="D338" s="232"/>
      <c r="E338"/>
      <c r="F338"/>
      <c r="G338"/>
      <c r="H338"/>
    </row>
    <row r="339" spans="2:8" x14ac:dyDescent="0.25">
      <c r="B339" s="224" t="s">
        <v>274</v>
      </c>
      <c r="C339" s="184"/>
      <c r="D339" s="216"/>
      <c r="E339"/>
      <c r="F339"/>
      <c r="G339"/>
      <c r="H339"/>
    </row>
    <row r="340" spans="2:8" x14ac:dyDescent="0.25">
      <c r="B340" s="184" t="s">
        <v>504</v>
      </c>
      <c r="C340" s="184" t="s">
        <v>268</v>
      </c>
      <c r="D340" s="232">
        <v>0</v>
      </c>
      <c r="E340"/>
      <c r="F340"/>
      <c r="G340"/>
      <c r="H340"/>
    </row>
    <row r="341" spans="2:8" x14ac:dyDescent="0.25">
      <c r="B341" s="184" t="s">
        <v>504</v>
      </c>
      <c r="C341" s="184" t="s">
        <v>275</v>
      </c>
      <c r="D341" s="232">
        <v>0</v>
      </c>
      <c r="E341"/>
      <c r="F341"/>
      <c r="G341"/>
      <c r="H341"/>
    </row>
    <row r="342" spans="2:8" x14ac:dyDescent="0.25">
      <c r="B342" s="184"/>
      <c r="C342" s="224" t="s">
        <v>201</v>
      </c>
      <c r="D342" s="216"/>
      <c r="E342"/>
      <c r="F342"/>
      <c r="G342"/>
      <c r="H342"/>
    </row>
    <row r="343" spans="2:8" hidden="1" x14ac:dyDescent="0.25">
      <c r="B343" s="184"/>
      <c r="C343" s="329" t="s">
        <v>202</v>
      </c>
      <c r="D343" s="223">
        <v>0</v>
      </c>
      <c r="E343"/>
      <c r="F343"/>
      <c r="G343"/>
      <c r="H343"/>
    </row>
    <row r="344" spans="2:8" x14ac:dyDescent="0.25">
      <c r="B344" s="184" t="s">
        <v>203</v>
      </c>
      <c r="C344" s="184" t="s">
        <v>203</v>
      </c>
      <c r="D344" s="223">
        <v>65342.71</v>
      </c>
      <c r="E344"/>
      <c r="F344"/>
      <c r="G344"/>
      <c r="H344"/>
    </row>
    <row r="345" spans="2:8" hidden="1" x14ac:dyDescent="0.25">
      <c r="B345" s="184" t="s">
        <v>204</v>
      </c>
      <c r="C345" s="329" t="s">
        <v>204</v>
      </c>
      <c r="D345" s="223">
        <v>0</v>
      </c>
      <c r="E345"/>
      <c r="F345"/>
      <c r="G345"/>
      <c r="H345"/>
    </row>
    <row r="346" spans="2:8" hidden="1" x14ac:dyDescent="0.25">
      <c r="B346" s="184" t="s">
        <v>205</v>
      </c>
      <c r="C346" s="329" t="s">
        <v>205</v>
      </c>
      <c r="D346" s="223">
        <v>0</v>
      </c>
      <c r="E346"/>
      <c r="F346"/>
      <c r="G346"/>
      <c r="H346"/>
    </row>
    <row r="347" spans="2:8" hidden="1" x14ac:dyDescent="0.25">
      <c r="B347" s="184" t="s">
        <v>206</v>
      </c>
      <c r="C347" s="329" t="s">
        <v>206</v>
      </c>
      <c r="D347" s="223">
        <v>0</v>
      </c>
      <c r="E347"/>
      <c r="F347"/>
      <c r="G347"/>
      <c r="H347"/>
    </row>
    <row r="348" spans="2:8" hidden="1" x14ac:dyDescent="0.25">
      <c r="B348" s="184" t="s">
        <v>207</v>
      </c>
      <c r="C348" s="329" t="s">
        <v>207</v>
      </c>
      <c r="D348" s="223">
        <v>0</v>
      </c>
      <c r="E348"/>
      <c r="F348"/>
      <c r="G348"/>
      <c r="H348"/>
    </row>
    <row r="349" spans="2:8" hidden="1" x14ac:dyDescent="0.25">
      <c r="B349" s="184" t="s">
        <v>208</v>
      </c>
      <c r="C349" s="329" t="s">
        <v>208</v>
      </c>
      <c r="D349" s="223">
        <v>0</v>
      </c>
      <c r="E349"/>
      <c r="F349"/>
      <c r="G349"/>
      <c r="H349"/>
    </row>
    <row r="350" spans="2:8" hidden="1" x14ac:dyDescent="0.25">
      <c r="B350" s="184" t="s">
        <v>209</v>
      </c>
      <c r="C350" s="329" t="s">
        <v>209</v>
      </c>
      <c r="D350" s="223">
        <v>0</v>
      </c>
      <c r="E350"/>
      <c r="F350"/>
      <c r="G350"/>
      <c r="H350"/>
    </row>
    <row r="351" spans="2:8" hidden="1" x14ac:dyDescent="0.25">
      <c r="B351" s="184" t="s">
        <v>226</v>
      </c>
      <c r="C351" s="329" t="s">
        <v>226</v>
      </c>
      <c r="D351" s="223">
        <v>0</v>
      </c>
      <c r="E351"/>
      <c r="F351"/>
      <c r="G351"/>
      <c r="H351"/>
    </row>
    <row r="352" spans="2:8" hidden="1" x14ac:dyDescent="0.25">
      <c r="B352" s="184" t="s">
        <v>211</v>
      </c>
      <c r="C352" s="329" t="s">
        <v>211</v>
      </c>
      <c r="D352" s="223">
        <v>0</v>
      </c>
      <c r="E352"/>
      <c r="F352"/>
      <c r="G352"/>
      <c r="H352"/>
    </row>
    <row r="353" spans="2:8" hidden="1" x14ac:dyDescent="0.25">
      <c r="B353" s="184" t="s">
        <v>212</v>
      </c>
      <c r="C353" s="329" t="s">
        <v>212</v>
      </c>
      <c r="D353" s="223">
        <v>0</v>
      </c>
      <c r="E353"/>
      <c r="F353"/>
      <c r="G353"/>
      <c r="H353"/>
    </row>
    <row r="354" spans="2:8" x14ac:dyDescent="0.25">
      <c r="B354" s="224" t="s">
        <v>216</v>
      </c>
      <c r="C354" s="224" t="s">
        <v>216</v>
      </c>
      <c r="D354" s="223"/>
      <c r="E354"/>
      <c r="F354"/>
      <c r="G354"/>
      <c r="H354"/>
    </row>
    <row r="355" spans="2:8" x14ac:dyDescent="0.25">
      <c r="B355" s="184" t="s">
        <v>276</v>
      </c>
      <c r="C355" s="184" t="s">
        <v>276</v>
      </c>
      <c r="D355" s="223">
        <v>0</v>
      </c>
      <c r="E355"/>
      <c r="F355"/>
      <c r="G355"/>
      <c r="H355"/>
    </row>
    <row r="356" spans="2:8" x14ac:dyDescent="0.25">
      <c r="B356" s="184"/>
      <c r="C356" s="184"/>
      <c r="D356" s="216"/>
      <c r="E356"/>
      <c r="F356"/>
      <c r="G356"/>
      <c r="H356"/>
    </row>
    <row r="357" spans="2:8" ht="13.8" thickBot="1" x14ac:dyDescent="0.3">
      <c r="B357" s="184"/>
      <c r="C357" s="227" t="s">
        <v>277</v>
      </c>
      <c r="D357" s="228">
        <f>SUM(D340:D356)</f>
        <v>65342.71</v>
      </c>
      <c r="E357"/>
      <c r="F357"/>
      <c r="G357"/>
      <c r="H357"/>
    </row>
    <row r="358" spans="2:8" ht="13.8" thickTop="1" x14ac:dyDescent="0.25">
      <c r="B358" s="184"/>
      <c r="C358" s="224"/>
      <c r="D358" s="225"/>
      <c r="E358"/>
      <c r="F358"/>
      <c r="G358"/>
      <c r="H358"/>
    </row>
    <row r="359" spans="2:8" x14ac:dyDescent="0.25">
      <c r="B359" s="224" t="s">
        <v>278</v>
      </c>
      <c r="C359" s="184"/>
      <c r="D359" s="216"/>
      <c r="E359"/>
      <c r="F359"/>
      <c r="G359"/>
      <c r="H359"/>
    </row>
    <row r="360" spans="2:8" x14ac:dyDescent="0.25">
      <c r="B360" s="184" t="s">
        <v>279</v>
      </c>
      <c r="C360" s="184" t="s">
        <v>279</v>
      </c>
      <c r="D360" s="232">
        <v>0</v>
      </c>
      <c r="E360"/>
      <c r="F360"/>
      <c r="G360"/>
      <c r="H360"/>
    </row>
    <row r="361" spans="2:8" x14ac:dyDescent="0.25">
      <c r="B361" s="184" t="s">
        <v>280</v>
      </c>
      <c r="C361" s="184" t="s">
        <v>280</v>
      </c>
      <c r="D361" s="232">
        <v>0</v>
      </c>
      <c r="E361"/>
      <c r="F361"/>
      <c r="G361"/>
      <c r="H361"/>
    </row>
    <row r="362" spans="2:8" x14ac:dyDescent="0.25">
      <c r="B362" s="184" t="s">
        <v>275</v>
      </c>
      <c r="C362" s="184" t="s">
        <v>275</v>
      </c>
      <c r="D362" s="232">
        <v>0</v>
      </c>
      <c r="E362"/>
      <c r="F362"/>
      <c r="G362"/>
      <c r="H362"/>
    </row>
    <row r="363" spans="2:8" x14ac:dyDescent="0.25">
      <c r="B363" s="224" t="s">
        <v>201</v>
      </c>
      <c r="C363" s="224" t="s">
        <v>201</v>
      </c>
      <c r="D363" s="216"/>
      <c r="E363"/>
      <c r="F363"/>
      <c r="G363"/>
      <c r="H363"/>
    </row>
    <row r="364" spans="2:8" x14ac:dyDescent="0.25">
      <c r="B364" s="184" t="s">
        <v>202</v>
      </c>
      <c r="C364" s="184" t="s">
        <v>202</v>
      </c>
      <c r="D364" s="223">
        <v>0</v>
      </c>
      <c r="E364"/>
      <c r="F364"/>
      <c r="G364"/>
      <c r="H364"/>
    </row>
    <row r="365" spans="2:8" x14ac:dyDescent="0.25">
      <c r="B365" s="184" t="s">
        <v>203</v>
      </c>
      <c r="C365" s="184" t="s">
        <v>203</v>
      </c>
      <c r="D365" s="223">
        <v>87837.97</v>
      </c>
      <c r="E365"/>
      <c r="F365"/>
      <c r="G365"/>
      <c r="H365"/>
    </row>
    <row r="366" spans="2:8" x14ac:dyDescent="0.25">
      <c r="B366" s="184" t="s">
        <v>204</v>
      </c>
      <c r="C366" s="184" t="s">
        <v>204</v>
      </c>
      <c r="D366" s="223">
        <v>0</v>
      </c>
      <c r="E366"/>
      <c r="F366"/>
      <c r="G366"/>
      <c r="H366"/>
    </row>
    <row r="367" spans="2:8" x14ac:dyDescent="0.25">
      <c r="B367" s="184" t="s">
        <v>205</v>
      </c>
      <c r="C367" s="184" t="s">
        <v>205</v>
      </c>
      <c r="D367" s="223">
        <v>0</v>
      </c>
      <c r="E367"/>
      <c r="F367"/>
      <c r="G367"/>
      <c r="H367"/>
    </row>
    <row r="368" spans="2:8" x14ac:dyDescent="0.25">
      <c r="B368" s="184" t="s">
        <v>206</v>
      </c>
      <c r="C368" s="184" t="s">
        <v>206</v>
      </c>
      <c r="D368" s="223">
        <v>0</v>
      </c>
      <c r="E368"/>
      <c r="F368"/>
      <c r="G368"/>
      <c r="H368"/>
    </row>
    <row r="369" spans="2:8" x14ac:dyDescent="0.25">
      <c r="B369" s="184" t="s">
        <v>207</v>
      </c>
      <c r="C369" s="184" t="s">
        <v>207</v>
      </c>
      <c r="D369" s="223">
        <v>0</v>
      </c>
      <c r="E369"/>
      <c r="F369"/>
      <c r="G369"/>
      <c r="H369"/>
    </row>
    <row r="370" spans="2:8" x14ac:dyDescent="0.25">
      <c r="B370" s="184" t="s">
        <v>208</v>
      </c>
      <c r="C370" s="184" t="s">
        <v>208</v>
      </c>
      <c r="D370" s="223">
        <v>0</v>
      </c>
      <c r="E370"/>
      <c r="F370"/>
      <c r="G370"/>
      <c r="H370"/>
    </row>
    <row r="371" spans="2:8" x14ac:dyDescent="0.25">
      <c r="B371" s="184" t="s">
        <v>209</v>
      </c>
      <c r="C371" s="184" t="s">
        <v>209</v>
      </c>
      <c r="D371" s="223">
        <v>0</v>
      </c>
      <c r="E371"/>
      <c r="F371"/>
      <c r="G371"/>
      <c r="H371"/>
    </row>
    <row r="372" spans="2:8" x14ac:dyDescent="0.25">
      <c r="B372" s="184" t="s">
        <v>226</v>
      </c>
      <c r="C372" s="184" t="s">
        <v>226</v>
      </c>
      <c r="D372" s="223">
        <v>0</v>
      </c>
      <c r="E372"/>
      <c r="F372"/>
      <c r="G372"/>
      <c r="H372"/>
    </row>
    <row r="373" spans="2:8" x14ac:dyDescent="0.25">
      <c r="B373" s="184" t="s">
        <v>211</v>
      </c>
      <c r="C373" s="184" t="s">
        <v>211</v>
      </c>
      <c r="D373" s="223">
        <v>0</v>
      </c>
      <c r="E373"/>
      <c r="F373"/>
      <c r="G373"/>
      <c r="H373"/>
    </row>
    <row r="374" spans="2:8" x14ac:dyDescent="0.25">
      <c r="B374" s="184" t="s">
        <v>212</v>
      </c>
      <c r="C374" s="184" t="s">
        <v>212</v>
      </c>
      <c r="D374" s="223">
        <v>0</v>
      </c>
      <c r="E374"/>
      <c r="F374"/>
      <c r="G374"/>
      <c r="H374"/>
    </row>
    <row r="375" spans="2:8" x14ac:dyDescent="0.25">
      <c r="B375" s="184"/>
      <c r="C375" s="184"/>
      <c r="D375" s="216"/>
      <c r="E375"/>
      <c r="F375"/>
      <c r="G375"/>
      <c r="H375"/>
    </row>
    <row r="376" spans="2:8" ht="13.8" thickBot="1" x14ac:dyDescent="0.3">
      <c r="B376" s="184"/>
      <c r="C376" s="227" t="s">
        <v>281</v>
      </c>
      <c r="D376" s="252">
        <f>SUM(D360:D375)</f>
        <v>87837.97</v>
      </c>
      <c r="E376"/>
      <c r="F376"/>
      <c r="G376"/>
      <c r="H376"/>
    </row>
    <row r="377" spans="2:8" ht="13.8" thickTop="1" x14ac:dyDescent="0.25">
      <c r="B377" s="184"/>
      <c r="C377" s="224"/>
      <c r="D377" s="225"/>
      <c r="E377"/>
      <c r="F377"/>
      <c r="G377"/>
      <c r="H377"/>
    </row>
    <row r="378" spans="2:8" x14ac:dyDescent="0.25">
      <c r="B378" s="224" t="s">
        <v>282</v>
      </c>
      <c r="C378" s="184"/>
      <c r="D378" s="216"/>
      <c r="E378"/>
      <c r="F378"/>
      <c r="G378"/>
      <c r="H378"/>
    </row>
    <row r="379" spans="2:8" x14ac:dyDescent="0.25">
      <c r="B379" s="184" t="s">
        <v>283</v>
      </c>
      <c r="C379" s="184" t="s">
        <v>283</v>
      </c>
      <c r="D379" s="223">
        <v>0</v>
      </c>
      <c r="E379"/>
      <c r="F379"/>
      <c r="G379"/>
      <c r="H379"/>
    </row>
    <row r="380" spans="2:8" x14ac:dyDescent="0.25">
      <c r="B380" s="224" t="s">
        <v>201</v>
      </c>
      <c r="C380" s="224" t="s">
        <v>201</v>
      </c>
      <c r="D380" s="216"/>
      <c r="E380"/>
      <c r="F380"/>
      <c r="G380"/>
      <c r="H380"/>
    </row>
    <row r="381" spans="2:8" x14ac:dyDescent="0.25">
      <c r="B381" s="184" t="s">
        <v>202</v>
      </c>
      <c r="C381" s="184" t="s">
        <v>202</v>
      </c>
      <c r="D381" s="223">
        <v>0</v>
      </c>
      <c r="E381"/>
      <c r="F381"/>
      <c r="G381"/>
      <c r="H381"/>
    </row>
    <row r="382" spans="2:8" x14ac:dyDescent="0.25">
      <c r="B382" s="184" t="s">
        <v>203</v>
      </c>
      <c r="C382" s="184" t="s">
        <v>203</v>
      </c>
      <c r="D382" s="223">
        <v>11117.16</v>
      </c>
      <c r="E382"/>
      <c r="F382"/>
      <c r="G382"/>
      <c r="H382"/>
    </row>
    <row r="383" spans="2:8" x14ac:dyDescent="0.25">
      <c r="B383" s="184" t="s">
        <v>204</v>
      </c>
      <c r="C383" s="184" t="s">
        <v>204</v>
      </c>
      <c r="D383" s="222">
        <v>0</v>
      </c>
      <c r="E383"/>
      <c r="F383"/>
      <c r="G383"/>
      <c r="H383"/>
    </row>
    <row r="384" spans="2:8" x14ac:dyDescent="0.25">
      <c r="B384" s="184" t="s">
        <v>205</v>
      </c>
      <c r="C384" s="184" t="s">
        <v>205</v>
      </c>
      <c r="D384" s="222">
        <v>0</v>
      </c>
      <c r="E384"/>
      <c r="F384"/>
      <c r="G384"/>
      <c r="H384"/>
    </row>
    <row r="385" spans="2:8" x14ac:dyDescent="0.25">
      <c r="B385" s="184" t="s">
        <v>206</v>
      </c>
      <c r="C385" s="184" t="s">
        <v>206</v>
      </c>
      <c r="D385" s="222">
        <v>0</v>
      </c>
      <c r="E385"/>
      <c r="F385"/>
      <c r="G385"/>
      <c r="H385"/>
    </row>
    <row r="386" spans="2:8" x14ac:dyDescent="0.25">
      <c r="B386" s="184" t="s">
        <v>207</v>
      </c>
      <c r="C386" s="184" t="s">
        <v>207</v>
      </c>
      <c r="D386" s="222">
        <v>0</v>
      </c>
      <c r="E386"/>
      <c r="F386"/>
      <c r="G386"/>
      <c r="H386"/>
    </row>
    <row r="387" spans="2:8" x14ac:dyDescent="0.25">
      <c r="B387" s="184" t="s">
        <v>208</v>
      </c>
      <c r="C387" s="184" t="s">
        <v>208</v>
      </c>
      <c r="D387" s="222">
        <v>0</v>
      </c>
      <c r="E387"/>
      <c r="F387"/>
      <c r="G387"/>
      <c r="H387"/>
    </row>
    <row r="388" spans="2:8" x14ac:dyDescent="0.25">
      <c r="B388" s="184" t="s">
        <v>209</v>
      </c>
      <c r="C388" s="184" t="s">
        <v>209</v>
      </c>
      <c r="D388" s="222">
        <v>0</v>
      </c>
      <c r="E388"/>
      <c r="F388"/>
      <c r="G388"/>
      <c r="H388"/>
    </row>
    <row r="389" spans="2:8" x14ac:dyDescent="0.25">
      <c r="B389" s="184" t="s">
        <v>226</v>
      </c>
      <c r="C389" s="184" t="s">
        <v>226</v>
      </c>
      <c r="D389" s="222">
        <v>0</v>
      </c>
      <c r="E389"/>
      <c r="F389"/>
      <c r="G389"/>
      <c r="H389"/>
    </row>
    <row r="390" spans="2:8" x14ac:dyDescent="0.25">
      <c r="B390" s="184" t="s">
        <v>211</v>
      </c>
      <c r="C390" s="184" t="s">
        <v>211</v>
      </c>
      <c r="D390" s="222">
        <v>0</v>
      </c>
      <c r="E390"/>
      <c r="F390"/>
      <c r="G390"/>
      <c r="H390"/>
    </row>
    <row r="391" spans="2:8" x14ac:dyDescent="0.25">
      <c r="B391" s="184" t="s">
        <v>212</v>
      </c>
      <c r="C391" s="184" t="s">
        <v>212</v>
      </c>
      <c r="D391" s="222">
        <v>0</v>
      </c>
      <c r="E391"/>
      <c r="F391"/>
      <c r="G391"/>
      <c r="H391"/>
    </row>
    <row r="392" spans="2:8" x14ac:dyDescent="0.25">
      <c r="B392" s="224" t="s">
        <v>216</v>
      </c>
      <c r="C392" s="224" t="s">
        <v>216</v>
      </c>
      <c r="D392" s="222"/>
      <c r="E392"/>
      <c r="F392"/>
      <c r="G392"/>
      <c r="H392"/>
    </row>
    <row r="393" spans="2:8" x14ac:dyDescent="0.25">
      <c r="B393" s="184" t="s">
        <v>284</v>
      </c>
      <c r="C393" s="184" t="s">
        <v>284</v>
      </c>
      <c r="D393" s="222">
        <v>0</v>
      </c>
      <c r="E393"/>
      <c r="F393"/>
      <c r="G393"/>
      <c r="H393"/>
    </row>
    <row r="394" spans="2:8" x14ac:dyDescent="0.25">
      <c r="B394" s="184" t="s">
        <v>285</v>
      </c>
      <c r="C394" s="184" t="s">
        <v>285</v>
      </c>
      <c r="D394" s="222">
        <v>0</v>
      </c>
      <c r="E394"/>
      <c r="F394"/>
      <c r="G394"/>
      <c r="H394"/>
    </row>
    <row r="395" spans="2:8" x14ac:dyDescent="0.25">
      <c r="B395" s="184" t="s">
        <v>286</v>
      </c>
      <c r="C395" s="184" t="s">
        <v>286</v>
      </c>
      <c r="D395" s="222">
        <v>0</v>
      </c>
      <c r="E395"/>
      <c r="F395"/>
      <c r="G395"/>
      <c r="H395"/>
    </row>
    <row r="396" spans="2:8" x14ac:dyDescent="0.25">
      <c r="B396" s="184" t="s">
        <v>287</v>
      </c>
      <c r="C396" s="184" t="s">
        <v>287</v>
      </c>
      <c r="D396" s="222">
        <v>0</v>
      </c>
      <c r="E396"/>
      <c r="F396"/>
      <c r="G396"/>
      <c r="H396"/>
    </row>
    <row r="397" spans="2:8" x14ac:dyDescent="0.25">
      <c r="B397" s="184" t="s">
        <v>288</v>
      </c>
      <c r="C397" s="184" t="s">
        <v>288</v>
      </c>
      <c r="D397" s="222">
        <v>0</v>
      </c>
      <c r="E397"/>
      <c r="F397"/>
      <c r="G397"/>
      <c r="H397"/>
    </row>
    <row r="398" spans="2:8" x14ac:dyDescent="0.25">
      <c r="B398" s="184"/>
      <c r="C398" s="184"/>
      <c r="D398" s="216"/>
      <c r="E398"/>
      <c r="F398"/>
      <c r="G398"/>
      <c r="H398"/>
    </row>
    <row r="399" spans="2:8" ht="13.8" thickBot="1" x14ac:dyDescent="0.3">
      <c r="B399" s="184"/>
      <c r="C399" s="227" t="s">
        <v>289</v>
      </c>
      <c r="D399" s="252">
        <f>SUM(D382:D397)</f>
        <v>11117.16</v>
      </c>
      <c r="E399"/>
      <c r="F399"/>
      <c r="G399"/>
      <c r="H399"/>
    </row>
    <row r="400" spans="2:8" ht="13.8" thickTop="1" x14ac:dyDescent="0.25">
      <c r="B400" s="184"/>
      <c r="C400" s="184"/>
      <c r="D400" s="225"/>
      <c r="E400"/>
      <c r="F400"/>
      <c r="G400"/>
      <c r="H400"/>
    </row>
    <row r="401" spans="2:8" x14ac:dyDescent="0.25">
      <c r="B401" s="224" t="s">
        <v>290</v>
      </c>
      <c r="C401" s="184"/>
      <c r="D401" s="216"/>
      <c r="E401"/>
      <c r="F401"/>
      <c r="G401"/>
      <c r="H401"/>
    </row>
    <row r="402" spans="2:8" hidden="1" x14ac:dyDescent="0.25">
      <c r="B402" s="184"/>
      <c r="C402" s="329" t="s">
        <v>291</v>
      </c>
      <c r="D402" s="223">
        <v>0</v>
      </c>
      <c r="E402"/>
      <c r="F402"/>
      <c r="G402"/>
      <c r="H402"/>
    </row>
    <row r="403" spans="2:8" x14ac:dyDescent="0.25">
      <c r="B403" s="224" t="s">
        <v>201</v>
      </c>
      <c r="C403" s="224" t="s">
        <v>201</v>
      </c>
      <c r="D403" s="216"/>
      <c r="E403"/>
      <c r="F403"/>
      <c r="G403"/>
      <c r="H403"/>
    </row>
    <row r="404" spans="2:8" hidden="1" x14ac:dyDescent="0.25">
      <c r="B404" s="184" t="s">
        <v>202</v>
      </c>
      <c r="C404" s="329" t="s">
        <v>202</v>
      </c>
      <c r="D404" s="223">
        <v>0</v>
      </c>
      <c r="E404"/>
      <c r="F404"/>
      <c r="G404"/>
      <c r="H404"/>
    </row>
    <row r="405" spans="2:8" x14ac:dyDescent="0.25">
      <c r="B405" s="184" t="s">
        <v>203</v>
      </c>
      <c r="C405" s="184" t="s">
        <v>203</v>
      </c>
      <c r="D405" s="223">
        <v>14969.81</v>
      </c>
      <c r="E405"/>
      <c r="F405"/>
      <c r="G405"/>
      <c r="H405"/>
    </row>
    <row r="406" spans="2:8" ht="12.6" hidden="1" customHeight="1" x14ac:dyDescent="0.25">
      <c r="B406" s="184"/>
      <c r="C406" s="329" t="s">
        <v>204</v>
      </c>
      <c r="D406" s="223">
        <v>0</v>
      </c>
      <c r="E406"/>
      <c r="F406"/>
      <c r="G406"/>
      <c r="H406"/>
    </row>
    <row r="407" spans="2:8" hidden="1" x14ac:dyDescent="0.25">
      <c r="B407" s="184"/>
      <c r="C407" s="329" t="s">
        <v>205</v>
      </c>
      <c r="D407" s="223">
        <v>0</v>
      </c>
      <c r="E407"/>
      <c r="F407"/>
      <c r="G407"/>
      <c r="H407"/>
    </row>
    <row r="408" spans="2:8" hidden="1" x14ac:dyDescent="0.25">
      <c r="B408" s="184"/>
      <c r="C408" s="329" t="s">
        <v>206</v>
      </c>
      <c r="D408" s="223">
        <v>0</v>
      </c>
      <c r="E408"/>
      <c r="F408"/>
      <c r="G408"/>
      <c r="H408"/>
    </row>
    <row r="409" spans="2:8" hidden="1" x14ac:dyDescent="0.25">
      <c r="B409" s="184"/>
      <c r="C409" s="329" t="s">
        <v>207</v>
      </c>
      <c r="D409" s="223">
        <v>0</v>
      </c>
      <c r="E409"/>
      <c r="F409"/>
      <c r="G409"/>
      <c r="H409"/>
    </row>
    <row r="410" spans="2:8" hidden="1" x14ac:dyDescent="0.25">
      <c r="B410" s="184"/>
      <c r="C410" s="329" t="s">
        <v>208</v>
      </c>
      <c r="D410" s="223">
        <v>0</v>
      </c>
      <c r="E410"/>
      <c r="F410"/>
      <c r="G410"/>
      <c r="H410"/>
    </row>
    <row r="411" spans="2:8" hidden="1" x14ac:dyDescent="0.25">
      <c r="B411" s="184"/>
      <c r="C411" s="329" t="s">
        <v>209</v>
      </c>
      <c r="D411" s="223">
        <v>0</v>
      </c>
      <c r="E411"/>
      <c r="F411"/>
      <c r="G411"/>
      <c r="H411"/>
    </row>
    <row r="412" spans="2:8" hidden="1" x14ac:dyDescent="0.25">
      <c r="B412" s="184"/>
      <c r="C412" s="329" t="s">
        <v>226</v>
      </c>
      <c r="D412" s="223">
        <v>0</v>
      </c>
      <c r="E412"/>
      <c r="F412"/>
      <c r="G412"/>
      <c r="H412"/>
    </row>
    <row r="413" spans="2:8" hidden="1" x14ac:dyDescent="0.25">
      <c r="B413" s="184"/>
      <c r="C413" s="329" t="s">
        <v>211</v>
      </c>
      <c r="D413" s="223">
        <v>0</v>
      </c>
      <c r="E413"/>
      <c r="F413"/>
      <c r="G413"/>
      <c r="H413"/>
    </row>
    <row r="414" spans="2:8" hidden="1" x14ac:dyDescent="0.25">
      <c r="B414" s="184"/>
      <c r="C414" s="329" t="s">
        <v>212</v>
      </c>
      <c r="D414" s="223">
        <v>0</v>
      </c>
      <c r="E414"/>
      <c r="F414"/>
      <c r="G414"/>
      <c r="H414"/>
    </row>
    <row r="415" spans="2:8" hidden="1" x14ac:dyDescent="0.25">
      <c r="B415" s="184"/>
      <c r="C415" s="330" t="s">
        <v>216</v>
      </c>
      <c r="D415" s="223"/>
      <c r="E415"/>
      <c r="F415"/>
      <c r="G415"/>
      <c r="H415"/>
    </row>
    <row r="416" spans="2:8" hidden="1" x14ac:dyDescent="0.25">
      <c r="B416" s="184"/>
      <c r="C416" s="329" t="s">
        <v>292</v>
      </c>
      <c r="D416" s="223">
        <v>0</v>
      </c>
      <c r="E416"/>
      <c r="F416"/>
      <c r="G416"/>
      <c r="H416"/>
    </row>
    <row r="417" spans="2:8" hidden="1" x14ac:dyDescent="0.25">
      <c r="B417" s="184"/>
      <c r="C417" s="329" t="s">
        <v>293</v>
      </c>
      <c r="D417" s="223">
        <v>0</v>
      </c>
      <c r="E417"/>
      <c r="F417"/>
      <c r="G417"/>
      <c r="H417"/>
    </row>
    <row r="418" spans="2:8" hidden="1" x14ac:dyDescent="0.25">
      <c r="B418" s="184"/>
      <c r="C418" s="329" t="s">
        <v>294</v>
      </c>
      <c r="D418" s="223">
        <v>0</v>
      </c>
      <c r="E418"/>
      <c r="F418"/>
      <c r="G418"/>
      <c r="H418"/>
    </row>
    <row r="419" spans="2:8" x14ac:dyDescent="0.25">
      <c r="B419" s="184"/>
      <c r="C419" s="224"/>
      <c r="D419" s="216"/>
      <c r="E419"/>
      <c r="F419"/>
      <c r="G419"/>
      <c r="H419"/>
    </row>
    <row r="420" spans="2:8" ht="13.8" thickBot="1" x14ac:dyDescent="0.3">
      <c r="B420" s="184"/>
      <c r="C420" s="227" t="s">
        <v>295</v>
      </c>
      <c r="D420" s="252">
        <f>SUM(D402:D418)</f>
        <v>14969.81</v>
      </c>
      <c r="E420"/>
      <c r="F420"/>
      <c r="G420"/>
      <c r="H420"/>
    </row>
    <row r="421" spans="2:8" ht="13.8" thickTop="1" x14ac:dyDescent="0.25">
      <c r="B421" s="184"/>
      <c r="C421" s="224"/>
      <c r="D421" s="216"/>
      <c r="E421"/>
      <c r="F421"/>
      <c r="G421"/>
      <c r="H421"/>
    </row>
    <row r="422" spans="2:8" x14ac:dyDescent="0.25">
      <c r="B422" s="224" t="s">
        <v>296</v>
      </c>
      <c r="C422" s="184"/>
      <c r="D422" s="217"/>
      <c r="E422"/>
      <c r="F422"/>
      <c r="G422"/>
      <c r="H422"/>
    </row>
    <row r="423" spans="2:8" hidden="1" x14ac:dyDescent="0.25">
      <c r="B423" s="224"/>
      <c r="C423" s="329" t="s">
        <v>297</v>
      </c>
      <c r="D423" s="223">
        <v>0</v>
      </c>
      <c r="E423"/>
      <c r="F423"/>
      <c r="G423"/>
      <c r="H423"/>
    </row>
    <row r="424" spans="2:8" hidden="1" x14ac:dyDescent="0.25">
      <c r="B424" s="224"/>
      <c r="C424" s="329" t="s">
        <v>298</v>
      </c>
      <c r="D424" s="223">
        <v>0</v>
      </c>
      <c r="E424"/>
      <c r="F424"/>
      <c r="G424"/>
      <c r="H424"/>
    </row>
    <row r="425" spans="2:8" hidden="1" x14ac:dyDescent="0.25">
      <c r="B425" s="224"/>
      <c r="C425" s="330" t="s">
        <v>201</v>
      </c>
      <c r="D425" s="226"/>
      <c r="E425"/>
      <c r="F425"/>
      <c r="G425"/>
      <c r="H425"/>
    </row>
    <row r="426" spans="2:8" hidden="1" x14ac:dyDescent="0.25">
      <c r="B426" s="224"/>
      <c r="C426" s="329" t="s">
        <v>202</v>
      </c>
      <c r="D426" s="226">
        <v>0</v>
      </c>
      <c r="E426"/>
      <c r="F426"/>
      <c r="G426"/>
      <c r="H426"/>
    </row>
    <row r="427" spans="2:8" x14ac:dyDescent="0.25">
      <c r="B427" s="184" t="s">
        <v>203</v>
      </c>
      <c r="C427" s="184" t="s">
        <v>203</v>
      </c>
      <c r="D427" s="226">
        <v>13859.1</v>
      </c>
      <c r="E427"/>
      <c r="F427"/>
      <c r="G427"/>
      <c r="H427"/>
    </row>
    <row r="428" spans="2:8" ht="16.8" hidden="1" customHeight="1" x14ac:dyDescent="0.25">
      <c r="B428" s="224"/>
      <c r="C428" s="329" t="s">
        <v>299</v>
      </c>
      <c r="D428" s="226">
        <v>0</v>
      </c>
      <c r="E428"/>
      <c r="F428"/>
      <c r="G428"/>
      <c r="H428"/>
    </row>
    <row r="429" spans="2:8" hidden="1" x14ac:dyDescent="0.25">
      <c r="B429" s="224"/>
      <c r="C429" s="329" t="s">
        <v>204</v>
      </c>
      <c r="D429" s="223">
        <v>0</v>
      </c>
      <c r="E429"/>
      <c r="F429"/>
      <c r="G429"/>
      <c r="H429"/>
    </row>
    <row r="430" spans="2:8" hidden="1" x14ac:dyDescent="0.25">
      <c r="B430" s="224"/>
      <c r="C430" s="329" t="s">
        <v>205</v>
      </c>
      <c r="D430" s="223">
        <v>0</v>
      </c>
      <c r="E430"/>
      <c r="F430"/>
      <c r="G430"/>
      <c r="H430"/>
    </row>
    <row r="431" spans="2:8" hidden="1" x14ac:dyDescent="0.25">
      <c r="B431" s="224"/>
      <c r="C431" s="329" t="s">
        <v>206</v>
      </c>
      <c r="D431" s="223">
        <v>0</v>
      </c>
      <c r="E431"/>
      <c r="F431"/>
      <c r="G431"/>
      <c r="H431"/>
    </row>
    <row r="432" spans="2:8" hidden="1" x14ac:dyDescent="0.25">
      <c r="B432" s="224"/>
      <c r="C432" s="329" t="s">
        <v>207</v>
      </c>
      <c r="D432" s="223">
        <v>0</v>
      </c>
      <c r="E432"/>
      <c r="F432"/>
      <c r="G432"/>
      <c r="H432"/>
    </row>
    <row r="433" spans="2:8" hidden="1" x14ac:dyDescent="0.25">
      <c r="B433" s="224"/>
      <c r="C433" s="329" t="s">
        <v>208</v>
      </c>
      <c r="D433" s="223">
        <v>0</v>
      </c>
      <c r="E433"/>
      <c r="F433"/>
      <c r="G433"/>
      <c r="H433"/>
    </row>
    <row r="434" spans="2:8" hidden="1" x14ac:dyDescent="0.25">
      <c r="B434" s="224"/>
      <c r="C434" s="329" t="s">
        <v>209</v>
      </c>
      <c r="D434" s="223">
        <v>0</v>
      </c>
      <c r="E434"/>
      <c r="F434"/>
      <c r="G434"/>
      <c r="H434"/>
    </row>
    <row r="435" spans="2:8" hidden="1" x14ac:dyDescent="0.25">
      <c r="B435" s="224"/>
      <c r="C435" s="329" t="s">
        <v>226</v>
      </c>
      <c r="D435" s="223">
        <v>0</v>
      </c>
      <c r="E435"/>
      <c r="F435"/>
      <c r="G435"/>
      <c r="H435"/>
    </row>
    <row r="436" spans="2:8" hidden="1" x14ac:dyDescent="0.25">
      <c r="B436" s="224"/>
      <c r="C436" s="329" t="s">
        <v>211</v>
      </c>
      <c r="D436" s="223">
        <v>0</v>
      </c>
      <c r="E436"/>
      <c r="F436"/>
      <c r="G436"/>
      <c r="H436"/>
    </row>
    <row r="437" spans="2:8" hidden="1" x14ac:dyDescent="0.25">
      <c r="B437" s="224"/>
      <c r="C437" s="329" t="s">
        <v>212</v>
      </c>
      <c r="D437" s="223">
        <v>0</v>
      </c>
      <c r="E437"/>
      <c r="F437"/>
      <c r="G437"/>
      <c r="H437"/>
    </row>
    <row r="438" spans="2:8" hidden="1" x14ac:dyDescent="0.25">
      <c r="B438" s="224"/>
      <c r="C438" s="330" t="s">
        <v>216</v>
      </c>
      <c r="D438" s="226"/>
      <c r="E438"/>
      <c r="F438"/>
      <c r="G438"/>
      <c r="H438"/>
    </row>
    <row r="439" spans="2:8" hidden="1" x14ac:dyDescent="0.25">
      <c r="B439" s="224"/>
      <c r="C439" s="329" t="s">
        <v>300</v>
      </c>
      <c r="D439" s="226">
        <v>0</v>
      </c>
      <c r="E439"/>
      <c r="F439"/>
      <c r="G439"/>
      <c r="H439"/>
    </row>
    <row r="440" spans="2:8" hidden="1" x14ac:dyDescent="0.25">
      <c r="B440" s="224"/>
      <c r="C440" s="329" t="s">
        <v>301</v>
      </c>
      <c r="D440" s="223">
        <v>0</v>
      </c>
      <c r="E440"/>
      <c r="F440"/>
      <c r="G440"/>
      <c r="H440"/>
    </row>
    <row r="441" spans="2:8" hidden="1" x14ac:dyDescent="0.25">
      <c r="B441" s="224"/>
      <c r="C441" s="331" t="s">
        <v>302</v>
      </c>
      <c r="D441" s="223">
        <v>0</v>
      </c>
      <c r="E441"/>
      <c r="F441"/>
      <c r="G441"/>
      <c r="H441"/>
    </row>
    <row r="442" spans="2:8" hidden="1" x14ac:dyDescent="0.25">
      <c r="B442" s="224"/>
      <c r="C442" s="331" t="s">
        <v>303</v>
      </c>
      <c r="D442" s="223">
        <v>0</v>
      </c>
      <c r="E442"/>
      <c r="F442"/>
      <c r="G442"/>
      <c r="H442"/>
    </row>
    <row r="443" spans="2:8" hidden="1" x14ac:dyDescent="0.25">
      <c r="B443" s="224"/>
      <c r="C443" s="332" t="s">
        <v>304</v>
      </c>
      <c r="D443" s="223">
        <v>0</v>
      </c>
      <c r="E443"/>
      <c r="F443"/>
      <c r="G443"/>
      <c r="H443"/>
    </row>
    <row r="444" spans="2:8" hidden="1" x14ac:dyDescent="0.25">
      <c r="B444" s="224"/>
      <c r="C444" s="331" t="s">
        <v>305</v>
      </c>
      <c r="D444" s="223">
        <v>0</v>
      </c>
      <c r="E444"/>
      <c r="F444"/>
      <c r="G444"/>
      <c r="H444"/>
    </row>
    <row r="445" spans="2:8" x14ac:dyDescent="0.25">
      <c r="B445" s="184"/>
      <c r="C445" s="184"/>
      <c r="D445" s="216"/>
      <c r="E445"/>
      <c r="F445"/>
      <c r="G445"/>
      <c r="H445"/>
    </row>
    <row r="446" spans="2:8" ht="13.8" thickBot="1" x14ac:dyDescent="0.3">
      <c r="B446" s="184"/>
      <c r="C446" s="227" t="s">
        <v>306</v>
      </c>
      <c r="D446" s="252">
        <f>SUM(D423:D445)</f>
        <v>13859.1</v>
      </c>
      <c r="E446"/>
      <c r="F446"/>
      <c r="G446"/>
      <c r="H446"/>
    </row>
    <row r="447" spans="2:8" ht="13.8" thickTop="1" x14ac:dyDescent="0.25">
      <c r="B447" s="184"/>
      <c r="C447" s="224"/>
      <c r="D447" s="225"/>
      <c r="E447"/>
      <c r="F447"/>
      <c r="G447"/>
      <c r="H447"/>
    </row>
    <row r="448" spans="2:8" x14ac:dyDescent="0.25">
      <c r="B448" s="184"/>
      <c r="C448" s="258" t="s">
        <v>307</v>
      </c>
      <c r="D448" s="259">
        <f>D179+D188+D207+D231+D255+D275+D293+D315+D337+D357+D376+D446+D420+D399+D159+D137</f>
        <v>51400988.009999998</v>
      </c>
      <c r="E448"/>
      <c r="F448"/>
      <c r="G448"/>
      <c r="H448"/>
    </row>
    <row r="449" spans="2:8" x14ac:dyDescent="0.25">
      <c r="B449" s="184"/>
      <c r="C449" s="256"/>
      <c r="D449" s="225"/>
      <c r="E449"/>
      <c r="F449"/>
      <c r="G449"/>
      <c r="H449"/>
    </row>
    <row r="450" spans="2:8" x14ac:dyDescent="0.25">
      <c r="B450" s="224" t="s">
        <v>309</v>
      </c>
      <c r="C450" s="184"/>
      <c r="D450" s="225"/>
      <c r="E450"/>
      <c r="F450"/>
      <c r="G450"/>
      <c r="H450"/>
    </row>
    <row r="451" spans="2:8" x14ac:dyDescent="0.25">
      <c r="B451" s="256" t="s">
        <v>310</v>
      </c>
      <c r="C451" s="256" t="s">
        <v>310</v>
      </c>
      <c r="D451" s="225">
        <v>0</v>
      </c>
      <c r="E451"/>
      <c r="F451"/>
      <c r="G451"/>
      <c r="H451"/>
    </row>
    <row r="452" spans="2:8" x14ac:dyDescent="0.25">
      <c r="B452" s="256" t="s">
        <v>311</v>
      </c>
      <c r="C452" s="256" t="s">
        <v>311</v>
      </c>
      <c r="D452" s="225">
        <v>0</v>
      </c>
      <c r="E452"/>
      <c r="F452"/>
      <c r="G452"/>
      <c r="H452"/>
    </row>
    <row r="453" spans="2:8" x14ac:dyDescent="0.25">
      <c r="B453" s="184"/>
      <c r="C453" s="256"/>
      <c r="D453" s="225"/>
      <c r="E453"/>
      <c r="F453"/>
      <c r="G453"/>
      <c r="H453"/>
    </row>
    <row r="454" spans="2:8" ht="13.8" thickBot="1" x14ac:dyDescent="0.3">
      <c r="B454" s="184"/>
      <c r="C454" s="260" t="s">
        <v>312</v>
      </c>
      <c r="D454" s="228">
        <f>SUM(D451:D453)</f>
        <v>0</v>
      </c>
      <c r="E454"/>
      <c r="F454"/>
      <c r="G454"/>
      <c r="H454"/>
    </row>
    <row r="455" spans="2:8" ht="13.8" thickTop="1" x14ac:dyDescent="0.25">
      <c r="B455" s="184"/>
      <c r="C455" s="261"/>
      <c r="D455" s="212"/>
      <c r="E455"/>
      <c r="F455"/>
      <c r="G455"/>
      <c r="H455"/>
    </row>
    <row r="456" spans="2:8" x14ac:dyDescent="0.25">
      <c r="B456" s="224" t="s">
        <v>314</v>
      </c>
      <c r="C456" s="184"/>
      <c r="D456" s="225"/>
      <c r="E456"/>
      <c r="F456"/>
      <c r="G456"/>
      <c r="H456"/>
    </row>
    <row r="457" spans="2:8" x14ac:dyDescent="0.25">
      <c r="B457" s="256" t="s">
        <v>315</v>
      </c>
      <c r="C457" s="256" t="s">
        <v>315</v>
      </c>
      <c r="D457" s="225">
        <v>0</v>
      </c>
      <c r="E457"/>
      <c r="F457"/>
      <c r="G457"/>
      <c r="H457"/>
    </row>
    <row r="458" spans="2:8" x14ac:dyDescent="0.25">
      <c r="B458" s="256" t="s">
        <v>316</v>
      </c>
      <c r="C458" s="256" t="s">
        <v>316</v>
      </c>
      <c r="D458" s="225">
        <v>0</v>
      </c>
      <c r="E458"/>
      <c r="F458"/>
      <c r="G458"/>
      <c r="H458"/>
    </row>
    <row r="459" spans="2:8" x14ac:dyDescent="0.25">
      <c r="B459" s="256" t="s">
        <v>311</v>
      </c>
      <c r="C459" s="256" t="s">
        <v>311</v>
      </c>
      <c r="D459" s="225">
        <v>0</v>
      </c>
      <c r="E459"/>
      <c r="F459"/>
      <c r="G459"/>
      <c r="H459"/>
    </row>
    <row r="460" spans="2:8" x14ac:dyDescent="0.25">
      <c r="B460" s="184"/>
      <c r="C460" s="256"/>
      <c r="D460" s="225"/>
      <c r="E460"/>
      <c r="F460"/>
      <c r="G460"/>
      <c r="H460"/>
    </row>
    <row r="461" spans="2:8" ht="13.8" thickBot="1" x14ac:dyDescent="0.3">
      <c r="B461" s="184"/>
      <c r="C461" s="260" t="s">
        <v>317</v>
      </c>
      <c r="D461" s="228">
        <f>SUM(D457:D460)</f>
        <v>0</v>
      </c>
      <c r="E461"/>
      <c r="F461"/>
      <c r="G461"/>
      <c r="H461"/>
    </row>
    <row r="462" spans="2:8" ht="13.8" thickTop="1" x14ac:dyDescent="0.25">
      <c r="B462" s="184"/>
      <c r="C462" s="256"/>
      <c r="D462" s="225"/>
      <c r="E462"/>
      <c r="F462"/>
      <c r="G462"/>
      <c r="H462"/>
    </row>
    <row r="463" spans="2:8" x14ac:dyDescent="0.25">
      <c r="B463" s="224" t="s">
        <v>318</v>
      </c>
      <c r="C463" s="184"/>
      <c r="D463" s="225"/>
      <c r="E463"/>
      <c r="F463"/>
      <c r="G463"/>
      <c r="H463"/>
    </row>
    <row r="464" spans="2:8" x14ac:dyDescent="0.25">
      <c r="B464" s="256" t="s">
        <v>319</v>
      </c>
      <c r="C464" s="256" t="s">
        <v>319</v>
      </c>
      <c r="D464" s="346">
        <v>367810.92</v>
      </c>
      <c r="E464"/>
      <c r="F464"/>
      <c r="G464"/>
      <c r="H464"/>
    </row>
    <row r="465" spans="2:8" x14ac:dyDescent="0.25">
      <c r="B465" s="256" t="s">
        <v>320</v>
      </c>
      <c r="C465" s="256" t="s">
        <v>320</v>
      </c>
      <c r="D465" s="225">
        <v>2227422.2399999998</v>
      </c>
      <c r="E465"/>
      <c r="F465"/>
      <c r="G465"/>
      <c r="H465"/>
    </row>
    <row r="466" spans="2:8" x14ac:dyDescent="0.25">
      <c r="B466" s="184"/>
      <c r="C466" s="256"/>
      <c r="D466" s="225"/>
      <c r="E466"/>
      <c r="F466"/>
      <c r="G466"/>
      <c r="H466"/>
    </row>
    <row r="467" spans="2:8" ht="13.8" thickBot="1" x14ac:dyDescent="0.3">
      <c r="B467" s="184"/>
      <c r="C467" s="260" t="s">
        <v>321</v>
      </c>
      <c r="D467" s="228">
        <f>SUM(D464:D466)</f>
        <v>2595233.1599999997</v>
      </c>
      <c r="E467"/>
      <c r="F467"/>
      <c r="G467"/>
      <c r="H467"/>
    </row>
    <row r="468" spans="2:8" ht="13.8" thickTop="1" x14ac:dyDescent="0.25">
      <c r="B468" s="184"/>
      <c r="C468" s="256"/>
      <c r="D468" s="225"/>
      <c r="E468"/>
      <c r="F468"/>
      <c r="G468"/>
      <c r="H468"/>
    </row>
    <row r="469" spans="2:8" x14ac:dyDescent="0.25">
      <c r="B469" s="224" t="s">
        <v>322</v>
      </c>
      <c r="C469" s="184"/>
      <c r="D469" s="225"/>
      <c r="E469"/>
      <c r="F469"/>
      <c r="G469"/>
      <c r="H469"/>
    </row>
    <row r="470" spans="2:8" x14ac:dyDescent="0.25">
      <c r="B470" s="184" t="s">
        <v>323</v>
      </c>
      <c r="C470" s="184" t="s">
        <v>323</v>
      </c>
      <c r="D470" s="225">
        <v>0</v>
      </c>
      <c r="E470"/>
      <c r="F470"/>
      <c r="G470"/>
      <c r="H470"/>
    </row>
    <row r="471" spans="2:8" x14ac:dyDescent="0.25">
      <c r="B471" s="184" t="s">
        <v>324</v>
      </c>
      <c r="C471" s="184" t="s">
        <v>324</v>
      </c>
      <c r="D471" s="225">
        <v>0</v>
      </c>
      <c r="E471"/>
      <c r="F471"/>
      <c r="G471"/>
      <c r="H471"/>
    </row>
    <row r="472" spans="2:8" x14ac:dyDescent="0.25">
      <c r="B472" s="184" t="s">
        <v>325</v>
      </c>
      <c r="C472" s="184" t="s">
        <v>325</v>
      </c>
      <c r="D472" s="225">
        <v>7819700.6999999993</v>
      </c>
      <c r="E472"/>
      <c r="F472"/>
      <c r="G472"/>
      <c r="H472"/>
    </row>
    <row r="473" spans="2:8" x14ac:dyDescent="0.25">
      <c r="B473" s="184"/>
      <c r="C473" s="256"/>
      <c r="D473" s="225"/>
      <c r="E473"/>
      <c r="F473"/>
      <c r="G473"/>
      <c r="H473"/>
    </row>
    <row r="474" spans="2:8" ht="13.8" thickBot="1" x14ac:dyDescent="0.3">
      <c r="B474" s="184"/>
      <c r="C474" s="260" t="s">
        <v>326</v>
      </c>
      <c r="D474" s="228">
        <f>SUM(D470:D473)</f>
        <v>7819700.6999999993</v>
      </c>
      <c r="E474"/>
      <c r="F474"/>
      <c r="G474"/>
      <c r="H474"/>
    </row>
    <row r="475" spans="2:8" ht="13.8" thickTop="1" x14ac:dyDescent="0.25">
      <c r="B475" s="224"/>
      <c r="C475" s="184"/>
      <c r="D475" s="225"/>
      <c r="E475"/>
      <c r="F475"/>
      <c r="G475"/>
      <c r="H475"/>
    </row>
    <row r="476" spans="2:8" x14ac:dyDescent="0.25">
      <c r="B476" s="224" t="s">
        <v>327</v>
      </c>
      <c r="C476" s="184"/>
      <c r="D476" s="225"/>
      <c r="E476"/>
      <c r="F476"/>
      <c r="G476"/>
      <c r="H476"/>
    </row>
    <row r="477" spans="2:8" x14ac:dyDescent="0.25">
      <c r="B477" s="256" t="s">
        <v>328</v>
      </c>
      <c r="C477" s="256" t="s">
        <v>328</v>
      </c>
      <c r="D477" s="225">
        <v>25000000.000000011</v>
      </c>
      <c r="E477"/>
      <c r="F477"/>
      <c r="G477"/>
      <c r="H477"/>
    </row>
    <row r="478" spans="2:8" x14ac:dyDescent="0.25">
      <c r="B478" s="256" t="s">
        <v>329</v>
      </c>
      <c r="C478" s="256" t="s">
        <v>329</v>
      </c>
      <c r="D478" s="225">
        <v>15000000</v>
      </c>
      <c r="E478"/>
      <c r="F478"/>
      <c r="G478"/>
      <c r="H478"/>
    </row>
    <row r="479" spans="2:8" x14ac:dyDescent="0.25">
      <c r="B479" s="184"/>
      <c r="C479" s="256"/>
      <c r="D479" s="225"/>
      <c r="E479"/>
      <c r="F479"/>
      <c r="G479"/>
      <c r="H479"/>
    </row>
    <row r="480" spans="2:8" ht="13.8" thickBot="1" x14ac:dyDescent="0.3">
      <c r="B480" s="184"/>
      <c r="C480" s="260" t="s">
        <v>330</v>
      </c>
      <c r="D480" s="228">
        <f>SUM(D477:D479)</f>
        <v>40000000.000000015</v>
      </c>
      <c r="E480"/>
      <c r="F480"/>
      <c r="G480"/>
      <c r="H480"/>
    </row>
    <row r="481" spans="2:8" ht="13.8" thickTop="1" x14ac:dyDescent="0.25">
      <c r="B481" s="184"/>
      <c r="C481" s="256"/>
      <c r="D481" s="225"/>
      <c r="E481"/>
      <c r="F481"/>
      <c r="G481"/>
      <c r="H481"/>
    </row>
    <row r="482" spans="2:8" x14ac:dyDescent="0.25">
      <c r="B482" s="224" t="s">
        <v>331</v>
      </c>
      <c r="C482" s="184"/>
      <c r="D482" s="225"/>
      <c r="E482"/>
      <c r="F482"/>
      <c r="G482"/>
      <c r="H482"/>
    </row>
    <row r="483" spans="2:8" x14ac:dyDescent="0.25">
      <c r="B483" s="256" t="s">
        <v>332</v>
      </c>
      <c r="C483" s="256" t="s">
        <v>332</v>
      </c>
      <c r="D483" s="225">
        <v>4000000</v>
      </c>
      <c r="E483"/>
      <c r="F483"/>
      <c r="G483"/>
      <c r="H483"/>
    </row>
    <row r="484" spans="2:8" x14ac:dyDescent="0.25">
      <c r="B484" s="256" t="s">
        <v>333</v>
      </c>
      <c r="C484" s="256" t="s">
        <v>333</v>
      </c>
      <c r="D484" s="225">
        <v>467976.92</v>
      </c>
      <c r="E484"/>
      <c r="F484"/>
      <c r="G484"/>
      <c r="H484"/>
    </row>
    <row r="485" spans="2:8" x14ac:dyDescent="0.25">
      <c r="B485" s="256" t="s">
        <v>334</v>
      </c>
      <c r="C485" s="256" t="s">
        <v>334</v>
      </c>
      <c r="D485" s="225">
        <v>0</v>
      </c>
      <c r="E485"/>
      <c r="F485"/>
      <c r="G485"/>
      <c r="H485"/>
    </row>
    <row r="486" spans="2:8" x14ac:dyDescent="0.25">
      <c r="B486" s="256" t="s">
        <v>335</v>
      </c>
      <c r="C486" s="256" t="s">
        <v>335</v>
      </c>
      <c r="D486" s="225">
        <v>5000</v>
      </c>
      <c r="E486"/>
      <c r="F486"/>
      <c r="G486"/>
      <c r="H486"/>
    </row>
    <row r="487" spans="2:8" x14ac:dyDescent="0.25">
      <c r="B487" s="256" t="s">
        <v>316</v>
      </c>
      <c r="C487" s="256" t="s">
        <v>316</v>
      </c>
      <c r="D487" s="225">
        <v>0</v>
      </c>
      <c r="E487"/>
      <c r="F487"/>
      <c r="G487"/>
      <c r="H487"/>
    </row>
    <row r="488" spans="2:8" x14ac:dyDescent="0.25">
      <c r="B488" s="184"/>
      <c r="C488" s="256"/>
      <c r="D488" s="225"/>
      <c r="E488"/>
      <c r="F488"/>
      <c r="G488"/>
      <c r="H488"/>
    </row>
    <row r="489" spans="2:8" ht="13.8" thickBot="1" x14ac:dyDescent="0.3">
      <c r="B489" s="184"/>
      <c r="C489" s="260" t="s">
        <v>336</v>
      </c>
      <c r="D489" s="228">
        <f>SUM(D483:D488)</f>
        <v>4472976.92</v>
      </c>
      <c r="E489"/>
      <c r="F489"/>
      <c r="G489"/>
      <c r="H489"/>
    </row>
    <row r="490" spans="2:8" ht="13.8" thickTop="1" x14ac:dyDescent="0.25">
      <c r="B490" s="184"/>
      <c r="C490" s="256"/>
      <c r="D490" s="225"/>
      <c r="E490"/>
      <c r="F490"/>
      <c r="G490"/>
      <c r="H490"/>
    </row>
    <row r="491" spans="2:8" x14ac:dyDescent="0.25">
      <c r="B491" s="224" t="s">
        <v>337</v>
      </c>
      <c r="C491" s="184"/>
      <c r="D491" s="225"/>
      <c r="E491"/>
      <c r="F491"/>
      <c r="G491"/>
      <c r="H491"/>
    </row>
    <row r="492" spans="2:8" x14ac:dyDescent="0.25">
      <c r="B492" s="256" t="s">
        <v>338</v>
      </c>
      <c r="C492" s="256" t="s">
        <v>338</v>
      </c>
      <c r="D492" s="225">
        <v>0</v>
      </c>
      <c r="E492"/>
      <c r="F492"/>
      <c r="G492"/>
      <c r="H492"/>
    </row>
    <row r="493" spans="2:8" x14ac:dyDescent="0.25">
      <c r="B493" s="256" t="s">
        <v>339</v>
      </c>
      <c r="C493" s="256" t="s">
        <v>339</v>
      </c>
      <c r="D493" s="225">
        <v>0</v>
      </c>
      <c r="E493"/>
      <c r="F493"/>
      <c r="G493"/>
      <c r="H493"/>
    </row>
    <row r="494" spans="2:8" x14ac:dyDescent="0.25">
      <c r="B494" s="184"/>
      <c r="C494" s="256"/>
      <c r="D494" s="225"/>
      <c r="E494"/>
      <c r="F494"/>
      <c r="G494"/>
      <c r="H494"/>
    </row>
    <row r="495" spans="2:8" ht="13.8" thickBot="1" x14ac:dyDescent="0.3">
      <c r="B495" s="184"/>
      <c r="C495" s="260" t="s">
        <v>340</v>
      </c>
      <c r="D495" s="228">
        <v>0</v>
      </c>
      <c r="E495"/>
      <c r="F495"/>
      <c r="G495"/>
      <c r="H495"/>
    </row>
    <row r="496" spans="2:8" ht="13.8" thickTop="1" x14ac:dyDescent="0.25">
      <c r="B496" s="184"/>
      <c r="C496" s="256"/>
      <c r="D496" s="225"/>
      <c r="E496"/>
      <c r="F496"/>
      <c r="G496"/>
      <c r="H496"/>
    </row>
    <row r="497" spans="2:8" x14ac:dyDescent="0.25">
      <c r="B497" s="224" t="s">
        <v>341</v>
      </c>
      <c r="C497" s="184"/>
      <c r="D497" s="226"/>
      <c r="E497"/>
      <c r="F497"/>
      <c r="G497"/>
      <c r="H497"/>
    </row>
    <row r="498" spans="2:8" x14ac:dyDescent="0.25">
      <c r="B498" s="184" t="s">
        <v>342</v>
      </c>
      <c r="C498" s="184" t="s">
        <v>342</v>
      </c>
      <c r="D498" s="226">
        <v>0</v>
      </c>
      <c r="E498"/>
      <c r="F498"/>
      <c r="G498"/>
      <c r="H498"/>
    </row>
    <row r="499" spans="2:8" x14ac:dyDescent="0.25">
      <c r="B499" s="184" t="s">
        <v>332</v>
      </c>
      <c r="C499" s="184" t="s">
        <v>332</v>
      </c>
      <c r="D499" s="226">
        <v>5671525.9100000001</v>
      </c>
      <c r="E499"/>
      <c r="F499"/>
      <c r="G499"/>
      <c r="H499"/>
    </row>
    <row r="500" spans="2:8" x14ac:dyDescent="0.25">
      <c r="B500" s="184" t="s">
        <v>344</v>
      </c>
      <c r="C500" s="184" t="s">
        <v>344</v>
      </c>
      <c r="D500" s="226">
        <v>7873.27</v>
      </c>
      <c r="E500"/>
      <c r="F500"/>
      <c r="G500"/>
      <c r="H500"/>
    </row>
    <row r="501" spans="2:8" x14ac:dyDescent="0.25">
      <c r="B501" s="184" t="s">
        <v>334</v>
      </c>
      <c r="C501" s="184" t="s">
        <v>334</v>
      </c>
      <c r="D501" s="226">
        <v>0</v>
      </c>
      <c r="E501"/>
      <c r="F501"/>
      <c r="G501"/>
      <c r="H501"/>
    </row>
    <row r="502" spans="2:8" x14ac:dyDescent="0.25">
      <c r="B502" s="184" t="s">
        <v>345</v>
      </c>
      <c r="C502" s="184" t="s">
        <v>345</v>
      </c>
      <c r="D502" s="226">
        <v>0</v>
      </c>
      <c r="E502"/>
      <c r="F502"/>
      <c r="G502"/>
      <c r="H502"/>
    </row>
    <row r="503" spans="2:8" x14ac:dyDescent="0.25">
      <c r="B503" s="184" t="s">
        <v>346</v>
      </c>
      <c r="C503" s="184" t="s">
        <v>346</v>
      </c>
      <c r="D503" s="344">
        <v>120864.90999999999</v>
      </c>
      <c r="E503"/>
      <c r="F503"/>
      <c r="G503"/>
      <c r="H503"/>
    </row>
    <row r="504" spans="2:8" x14ac:dyDescent="0.25">
      <c r="B504" s="184" t="s">
        <v>335</v>
      </c>
      <c r="C504" s="184" t="s">
        <v>335</v>
      </c>
      <c r="D504" s="226">
        <v>0</v>
      </c>
      <c r="E504"/>
      <c r="F504"/>
      <c r="G504"/>
      <c r="H504"/>
    </row>
    <row r="505" spans="2:8" x14ac:dyDescent="0.25">
      <c r="B505" s="184" t="s">
        <v>316</v>
      </c>
      <c r="C505" s="184" t="s">
        <v>316</v>
      </c>
      <c r="D505" s="226">
        <v>182683.47999999998</v>
      </c>
      <c r="E505"/>
      <c r="F505"/>
      <c r="G505"/>
      <c r="H505"/>
    </row>
    <row r="506" spans="2:8" x14ac:dyDescent="0.25">
      <c r="B506" s="184"/>
      <c r="C506" s="184"/>
      <c r="D506" s="226"/>
      <c r="E506"/>
      <c r="F506"/>
      <c r="G506"/>
      <c r="H506"/>
    </row>
    <row r="507" spans="2:8" ht="13.8" thickBot="1" x14ac:dyDescent="0.3">
      <c r="B507" s="184"/>
      <c r="C507" s="260" t="s">
        <v>347</v>
      </c>
      <c r="D507" s="228">
        <f>SUM(D498:D506)</f>
        <v>5982947.5700000003</v>
      </c>
      <c r="E507"/>
      <c r="F507"/>
      <c r="G507"/>
      <c r="H507"/>
    </row>
    <row r="508" spans="2:8" ht="13.8" thickTop="1" x14ac:dyDescent="0.25">
      <c r="B508" s="184"/>
      <c r="C508" s="184"/>
      <c r="D508" s="226"/>
      <c r="E508"/>
      <c r="F508"/>
      <c r="G508"/>
      <c r="H508"/>
    </row>
    <row r="509" spans="2:8" x14ac:dyDescent="0.25">
      <c r="B509" s="224" t="s">
        <v>348</v>
      </c>
      <c r="C509" s="184"/>
      <c r="D509" s="226"/>
      <c r="E509"/>
      <c r="F509"/>
      <c r="G509"/>
      <c r="H509"/>
    </row>
    <row r="510" spans="2:8" hidden="1" x14ac:dyDescent="0.25">
      <c r="B510" s="184"/>
      <c r="C510" s="329" t="s">
        <v>349</v>
      </c>
      <c r="D510" s="226">
        <v>0</v>
      </c>
      <c r="E510"/>
      <c r="F510"/>
      <c r="G510"/>
      <c r="H510"/>
    </row>
    <row r="511" spans="2:8" hidden="1" x14ac:dyDescent="0.25">
      <c r="B511" s="184"/>
      <c r="C511" s="329" t="s">
        <v>332</v>
      </c>
      <c r="D511" s="226">
        <v>0</v>
      </c>
      <c r="E511"/>
      <c r="F511"/>
      <c r="G511"/>
      <c r="H511"/>
    </row>
    <row r="512" spans="2:8" x14ac:dyDescent="0.25">
      <c r="B512" s="184" t="s">
        <v>350</v>
      </c>
      <c r="C512" s="184" t="s">
        <v>350</v>
      </c>
      <c r="D512" s="226">
        <v>0</v>
      </c>
      <c r="E512"/>
      <c r="F512"/>
      <c r="G512"/>
      <c r="H512"/>
    </row>
    <row r="513" spans="2:8" hidden="1" x14ac:dyDescent="0.25">
      <c r="B513" s="184" t="s">
        <v>345</v>
      </c>
      <c r="C513" s="329" t="s">
        <v>345</v>
      </c>
      <c r="D513" s="226">
        <v>0</v>
      </c>
      <c r="E513"/>
      <c r="F513"/>
      <c r="G513"/>
      <c r="H513"/>
    </row>
    <row r="514" spans="2:8" x14ac:dyDescent="0.25">
      <c r="B514" s="184" t="s">
        <v>335</v>
      </c>
      <c r="C514" s="184" t="s">
        <v>335</v>
      </c>
      <c r="D514" s="226">
        <v>0</v>
      </c>
      <c r="E514"/>
      <c r="F514"/>
      <c r="G514"/>
      <c r="H514"/>
    </row>
    <row r="515" spans="2:8" x14ac:dyDescent="0.25">
      <c r="B515" s="184"/>
      <c r="C515" s="184"/>
      <c r="D515" s="226"/>
      <c r="E515"/>
      <c r="F515"/>
      <c r="G515"/>
      <c r="H515"/>
    </row>
    <row r="516" spans="2:8" ht="13.8" thickBot="1" x14ac:dyDescent="0.3">
      <c r="B516" s="184"/>
      <c r="C516" s="260" t="s">
        <v>351</v>
      </c>
      <c r="D516" s="228">
        <f>SUM(D510:D515)</f>
        <v>0</v>
      </c>
      <c r="E516"/>
      <c r="F516"/>
      <c r="G516"/>
      <c r="H516"/>
    </row>
    <row r="517" spans="2:8" ht="13.8" thickTop="1" x14ac:dyDescent="0.25">
      <c r="B517" s="184"/>
      <c r="C517" s="184"/>
      <c r="D517" s="226"/>
      <c r="E517"/>
      <c r="F517"/>
      <c r="G517"/>
      <c r="H517"/>
    </row>
    <row r="518" spans="2:8" x14ac:dyDescent="0.25">
      <c r="B518" s="224" t="s">
        <v>352</v>
      </c>
      <c r="C518" s="184"/>
      <c r="D518" s="226"/>
      <c r="E518"/>
      <c r="F518"/>
      <c r="G518"/>
      <c r="H518"/>
    </row>
    <row r="519" spans="2:8" hidden="1" x14ac:dyDescent="0.25">
      <c r="B519" s="184"/>
      <c r="C519" s="329" t="s">
        <v>349</v>
      </c>
      <c r="D519" s="226">
        <v>0</v>
      </c>
      <c r="E519"/>
      <c r="F519"/>
      <c r="G519"/>
      <c r="H519"/>
    </row>
    <row r="520" spans="2:8" hidden="1" x14ac:dyDescent="0.25">
      <c r="B520" s="184"/>
      <c r="C520" s="329" t="s">
        <v>332</v>
      </c>
      <c r="D520" s="226">
        <v>0</v>
      </c>
      <c r="E520"/>
      <c r="F520"/>
      <c r="G520"/>
      <c r="H520"/>
    </row>
    <row r="521" spans="2:8" hidden="1" x14ac:dyDescent="0.25">
      <c r="B521" s="184"/>
      <c r="C521" s="329" t="s">
        <v>353</v>
      </c>
      <c r="D521" s="226">
        <v>0</v>
      </c>
      <c r="E521"/>
      <c r="F521"/>
      <c r="G521"/>
      <c r="H521"/>
    </row>
    <row r="522" spans="2:8" x14ac:dyDescent="0.25">
      <c r="B522" s="184" t="s">
        <v>346</v>
      </c>
      <c r="C522" s="184" t="s">
        <v>346</v>
      </c>
      <c r="D522" s="226">
        <v>0</v>
      </c>
      <c r="E522"/>
      <c r="F522"/>
      <c r="G522"/>
      <c r="H522"/>
    </row>
    <row r="523" spans="2:8" x14ac:dyDescent="0.25">
      <c r="B523" s="184" t="s">
        <v>354</v>
      </c>
      <c r="C523" s="184" t="s">
        <v>354</v>
      </c>
      <c r="D523" s="226">
        <v>0</v>
      </c>
      <c r="E523"/>
      <c r="F523"/>
      <c r="G523"/>
      <c r="H523"/>
    </row>
    <row r="524" spans="2:8" x14ac:dyDescent="0.25">
      <c r="B524" s="184" t="s">
        <v>335</v>
      </c>
      <c r="C524" s="184" t="s">
        <v>335</v>
      </c>
      <c r="D524" s="226">
        <v>13853.66</v>
      </c>
      <c r="E524"/>
      <c r="F524"/>
      <c r="G524"/>
      <c r="H524"/>
    </row>
    <row r="525" spans="2:8" hidden="1" x14ac:dyDescent="0.25">
      <c r="B525" s="184"/>
      <c r="C525" s="329" t="s">
        <v>355</v>
      </c>
      <c r="D525" s="226">
        <v>0</v>
      </c>
      <c r="E525"/>
      <c r="F525"/>
      <c r="G525"/>
      <c r="H525"/>
    </row>
    <row r="526" spans="2:8" x14ac:dyDescent="0.25">
      <c r="B526" s="184"/>
      <c r="C526" s="184"/>
      <c r="D526" s="226"/>
      <c r="E526"/>
      <c r="F526"/>
      <c r="G526"/>
      <c r="H526"/>
    </row>
    <row r="527" spans="2:8" ht="13.8" thickBot="1" x14ac:dyDescent="0.3">
      <c r="B527" s="184"/>
      <c r="C527" s="260" t="s">
        <v>356</v>
      </c>
      <c r="D527" s="228">
        <f>SUM(D519:D526)</f>
        <v>13853.66</v>
      </c>
      <c r="E527"/>
      <c r="F527"/>
      <c r="G527"/>
      <c r="H527"/>
    </row>
    <row r="528" spans="2:8" ht="13.8" thickTop="1" x14ac:dyDescent="0.25">
      <c r="B528" s="184"/>
      <c r="C528" s="184"/>
      <c r="D528" s="226"/>
      <c r="E528"/>
      <c r="F528"/>
      <c r="G528"/>
      <c r="H528"/>
    </row>
    <row r="529" spans="2:8" x14ac:dyDescent="0.25">
      <c r="B529" s="224" t="s">
        <v>357</v>
      </c>
      <c r="C529" s="184"/>
      <c r="D529" s="226"/>
      <c r="E529"/>
      <c r="F529"/>
      <c r="G529"/>
      <c r="H529"/>
    </row>
    <row r="530" spans="2:8" x14ac:dyDescent="0.25">
      <c r="B530" s="184" t="s">
        <v>358</v>
      </c>
      <c r="C530" s="184" t="s">
        <v>358</v>
      </c>
      <c r="D530" s="226">
        <v>0</v>
      </c>
      <c r="E530"/>
      <c r="F530"/>
      <c r="G530"/>
      <c r="H530"/>
    </row>
    <row r="531" spans="2:8" hidden="1" x14ac:dyDescent="0.25">
      <c r="B531" s="184" t="s">
        <v>353</v>
      </c>
      <c r="C531" s="329" t="s">
        <v>353</v>
      </c>
      <c r="D531" s="226">
        <v>0</v>
      </c>
      <c r="E531"/>
      <c r="F531"/>
      <c r="G531"/>
      <c r="H531"/>
    </row>
    <row r="532" spans="2:8" x14ac:dyDescent="0.25">
      <c r="B532" s="184" t="s">
        <v>335</v>
      </c>
      <c r="C532" s="184" t="s">
        <v>335</v>
      </c>
      <c r="D532" s="226">
        <v>0</v>
      </c>
      <c r="E532"/>
      <c r="F532"/>
      <c r="G532"/>
      <c r="H532"/>
    </row>
    <row r="533" spans="2:8" x14ac:dyDescent="0.25">
      <c r="B533" s="184" t="s">
        <v>355</v>
      </c>
      <c r="C533" s="184" t="s">
        <v>355</v>
      </c>
      <c r="D533" s="226">
        <v>0</v>
      </c>
      <c r="E533"/>
      <c r="F533"/>
      <c r="G533"/>
      <c r="H533"/>
    </row>
    <row r="534" spans="2:8" x14ac:dyDescent="0.25">
      <c r="B534" s="184"/>
      <c r="C534" s="184"/>
      <c r="D534" s="226"/>
      <c r="E534"/>
      <c r="F534"/>
      <c r="G534"/>
      <c r="H534"/>
    </row>
    <row r="535" spans="2:8" ht="13.8" thickBot="1" x14ac:dyDescent="0.3">
      <c r="B535" s="184"/>
      <c r="C535" s="260" t="s">
        <v>359</v>
      </c>
      <c r="D535" s="252">
        <f>SUM(D530:D534)</f>
        <v>0</v>
      </c>
      <c r="E535"/>
      <c r="F535"/>
      <c r="G535"/>
      <c r="H535"/>
    </row>
    <row r="536" spans="2:8" ht="13.8" thickTop="1" x14ac:dyDescent="0.25">
      <c r="B536" s="184"/>
      <c r="C536" s="184"/>
      <c r="D536" s="226"/>
      <c r="E536"/>
      <c r="F536"/>
      <c r="G536"/>
      <c r="H536"/>
    </row>
    <row r="537" spans="2:8" x14ac:dyDescent="0.25">
      <c r="B537" s="224" t="s">
        <v>360</v>
      </c>
      <c r="C537" s="184"/>
      <c r="D537" s="226"/>
      <c r="E537"/>
      <c r="F537"/>
      <c r="G537"/>
      <c r="H537"/>
    </row>
    <row r="538" spans="2:8" x14ac:dyDescent="0.25">
      <c r="B538" s="184"/>
      <c r="C538" s="184" t="s">
        <v>361</v>
      </c>
      <c r="D538" s="226">
        <v>0</v>
      </c>
      <c r="E538"/>
      <c r="F538"/>
      <c r="G538"/>
      <c r="H538"/>
    </row>
    <row r="539" spans="2:8" x14ac:dyDescent="0.25">
      <c r="B539" s="184"/>
      <c r="C539" s="184" t="s">
        <v>353</v>
      </c>
      <c r="D539" s="226">
        <v>0</v>
      </c>
      <c r="E539"/>
      <c r="F539"/>
      <c r="G539"/>
      <c r="H539"/>
    </row>
    <row r="540" spans="2:8" x14ac:dyDescent="0.25">
      <c r="B540" s="184" t="s">
        <v>362</v>
      </c>
      <c r="C540" s="184" t="s">
        <v>362</v>
      </c>
      <c r="D540" s="226">
        <v>0</v>
      </c>
      <c r="E540"/>
      <c r="F540"/>
      <c r="G540"/>
      <c r="H540"/>
    </row>
    <row r="541" spans="2:8" hidden="1" x14ac:dyDescent="0.25">
      <c r="B541" s="184" t="s">
        <v>355</v>
      </c>
      <c r="C541" s="329" t="s">
        <v>355</v>
      </c>
      <c r="D541" s="226">
        <v>0</v>
      </c>
      <c r="E541"/>
      <c r="F541"/>
      <c r="G541"/>
      <c r="H541"/>
    </row>
    <row r="542" spans="2:8" x14ac:dyDescent="0.25">
      <c r="B542" s="184" t="s">
        <v>363</v>
      </c>
      <c r="C542" s="184" t="s">
        <v>363</v>
      </c>
      <c r="D542" s="226">
        <v>0</v>
      </c>
      <c r="E542"/>
      <c r="F542"/>
      <c r="G542"/>
      <c r="H542"/>
    </row>
    <row r="543" spans="2:8" hidden="1" x14ac:dyDescent="0.25">
      <c r="B543" s="184"/>
      <c r="C543" s="329" t="s">
        <v>364</v>
      </c>
      <c r="D543" s="226">
        <v>0</v>
      </c>
      <c r="E543"/>
      <c r="F543"/>
      <c r="G543"/>
      <c r="H543"/>
    </row>
    <row r="544" spans="2:8" x14ac:dyDescent="0.25">
      <c r="B544" s="184"/>
      <c r="C544" s="184"/>
      <c r="D544" s="226"/>
      <c r="E544"/>
      <c r="F544"/>
      <c r="G544"/>
      <c r="H544"/>
    </row>
    <row r="545" spans="2:8" ht="13.8" thickBot="1" x14ac:dyDescent="0.3">
      <c r="B545" s="184"/>
      <c r="C545" s="260" t="s">
        <v>365</v>
      </c>
      <c r="D545" s="252">
        <f>SUM(D538:D544)</f>
        <v>0</v>
      </c>
      <c r="E545"/>
      <c r="F545"/>
      <c r="G545"/>
      <c r="H545"/>
    </row>
    <row r="546" spans="2:8" ht="13.8" thickTop="1" x14ac:dyDescent="0.25">
      <c r="B546" s="184"/>
      <c r="C546" s="264"/>
      <c r="D546" s="267"/>
      <c r="E546"/>
      <c r="F546"/>
      <c r="G546"/>
      <c r="H546"/>
    </row>
    <row r="547" spans="2:8" x14ac:dyDescent="0.25">
      <c r="B547" s="184"/>
      <c r="C547" s="258" t="s">
        <v>366</v>
      </c>
      <c r="D547" s="268">
        <f>D467+D474+D480+D489+D495+D507+D516+D527+D535+D545+D461+D454</f>
        <v>60884712.010000013</v>
      </c>
      <c r="E547" s="36">
        <f>D547+D448</f>
        <v>112285700.02000001</v>
      </c>
      <c r="F547" s="123" t="s">
        <v>520</v>
      </c>
      <c r="G547"/>
      <c r="H547"/>
    </row>
    <row r="548" spans="2:8" x14ac:dyDescent="0.25">
      <c r="B548" s="184"/>
      <c r="C548" s="224"/>
      <c r="D548" s="225"/>
      <c r="E548"/>
      <c r="F548"/>
      <c r="G548"/>
      <c r="H548"/>
    </row>
    <row r="549" spans="2:8" x14ac:dyDescent="0.25">
      <c r="B549" s="184"/>
      <c r="C549" s="184" t="s">
        <v>368</v>
      </c>
      <c r="D549" s="269">
        <v>337504.25</v>
      </c>
      <c r="E549"/>
      <c r="F549"/>
      <c r="G549"/>
      <c r="H549"/>
    </row>
    <row r="550" spans="2:8" x14ac:dyDescent="0.25">
      <c r="B550" s="184"/>
      <c r="C550" s="184"/>
      <c r="D550" s="269"/>
      <c r="E550"/>
      <c r="F550"/>
      <c r="G550"/>
      <c r="H550"/>
    </row>
    <row r="551" spans="2:8" x14ac:dyDescent="0.25">
      <c r="B551" s="184"/>
      <c r="C551" s="184"/>
      <c r="D551" s="269"/>
      <c r="E551"/>
      <c r="F551"/>
      <c r="G551"/>
      <c r="H551"/>
    </row>
    <row r="552" spans="2:8" ht="13.8" thickBot="1" x14ac:dyDescent="0.3">
      <c r="B552" s="194"/>
      <c r="C552" s="270"/>
      <c r="D552" s="271">
        <f>D448+D547+D549</f>
        <v>112623204.27000001</v>
      </c>
      <c r="E552"/>
      <c r="F552"/>
      <c r="G552"/>
      <c r="H552"/>
    </row>
    <row r="553" spans="2:8" ht="13.8" thickTop="1" x14ac:dyDescent="0.25">
      <c r="B553" s="184"/>
      <c r="C553" s="184"/>
      <c r="D553" s="186"/>
      <c r="E553"/>
      <c r="F553"/>
      <c r="G553"/>
      <c r="H553"/>
    </row>
    <row r="554" spans="2:8" x14ac:dyDescent="0.25">
      <c r="B554" s="184"/>
      <c r="C554" s="254"/>
      <c r="D554" s="230"/>
      <c r="E554"/>
      <c r="F554"/>
      <c r="G554"/>
      <c r="H554"/>
    </row>
    <row r="555" spans="2:8" x14ac:dyDescent="0.25">
      <c r="B555" s="184"/>
      <c r="C555" s="184"/>
      <c r="D555" s="194"/>
      <c r="E555"/>
      <c r="F555"/>
      <c r="G555"/>
      <c r="H555"/>
    </row>
    <row r="556" spans="2:8" x14ac:dyDescent="0.25">
      <c r="B556" s="184"/>
      <c r="C556" s="184"/>
      <c r="D556" s="230"/>
      <c r="E556"/>
      <c r="F556"/>
      <c r="G556"/>
      <c r="H556"/>
    </row>
    <row r="557" spans="2:8" x14ac:dyDescent="0.25">
      <c r="C557" s="184"/>
      <c r="D557" s="184"/>
      <c r="E557" s="230"/>
    </row>
    <row r="558" spans="2:8" x14ac:dyDescent="0.25">
      <c r="C558" s="184"/>
      <c r="D558" s="184"/>
      <c r="E558" s="255"/>
    </row>
    <row r="559" spans="2:8" x14ac:dyDescent="0.25">
      <c r="C559" s="184"/>
      <c r="D559" s="184"/>
      <c r="E559" s="230"/>
    </row>
    <row r="560" spans="2:8" x14ac:dyDescent="0.25">
      <c r="C560" s="184"/>
      <c r="D560" s="184"/>
      <c r="E560" s="186"/>
    </row>
    <row r="561" spans="3:5" x14ac:dyDescent="0.25">
      <c r="C561" s="184"/>
      <c r="D561" s="184"/>
      <c r="E561" s="230"/>
    </row>
    <row r="562" spans="3:5" x14ac:dyDescent="0.25">
      <c r="C562" s="184"/>
      <c r="D562" s="186"/>
      <c r="E562" s="186"/>
    </row>
    <row r="563" spans="3:5" x14ac:dyDescent="0.25">
      <c r="C563" s="184"/>
      <c r="D563" s="186"/>
      <c r="E563" s="230"/>
    </row>
    <row r="564" spans="3:5" x14ac:dyDescent="0.25">
      <c r="C564" s="184"/>
      <c r="D564" s="184"/>
      <c r="E564" s="186"/>
    </row>
    <row r="565" spans="3:5" x14ac:dyDescent="0.25">
      <c r="C565" s="184"/>
      <c r="D565" s="184"/>
      <c r="E565" s="194"/>
    </row>
    <row r="566" spans="3:5" x14ac:dyDescent="0.25">
      <c r="C566" s="184"/>
      <c r="D566" s="184"/>
      <c r="E566" s="186"/>
    </row>
    <row r="567" spans="3:5" x14ac:dyDescent="0.25">
      <c r="C567" s="184"/>
      <c r="D567" s="184"/>
      <c r="E567" s="194"/>
    </row>
    <row r="568" spans="3:5" x14ac:dyDescent="0.25">
      <c r="C568" s="184"/>
      <c r="D568" s="184"/>
      <c r="E568" s="186"/>
    </row>
    <row r="569" spans="3:5" x14ac:dyDescent="0.25">
      <c r="C569" s="184"/>
      <c r="D569" s="184"/>
      <c r="E569" s="194"/>
    </row>
    <row r="570" spans="3:5" x14ac:dyDescent="0.25">
      <c r="C570" s="184"/>
      <c r="D570" s="184"/>
      <c r="E570" s="186"/>
    </row>
    <row r="571" spans="3:5" x14ac:dyDescent="0.25">
      <c r="C571" s="184"/>
      <c r="D571" s="184"/>
      <c r="E571" s="194"/>
    </row>
    <row r="572" spans="3:5" x14ac:dyDescent="0.25">
      <c r="C572" s="184"/>
      <c r="D572" s="184"/>
      <c r="E572" s="186"/>
    </row>
    <row r="573" spans="3:5" x14ac:dyDescent="0.25">
      <c r="C573" s="184"/>
      <c r="D573" s="184"/>
      <c r="E573" s="194"/>
    </row>
    <row r="574" spans="3:5" x14ac:dyDescent="0.25">
      <c r="C574" s="184"/>
      <c r="D574" s="184"/>
      <c r="E574" s="186"/>
    </row>
    <row r="575" spans="3:5" x14ac:dyDescent="0.25">
      <c r="C575" s="184"/>
      <c r="D575" s="184"/>
      <c r="E575" s="194"/>
    </row>
    <row r="576" spans="3:5" x14ac:dyDescent="0.25">
      <c r="C576" s="184"/>
      <c r="D576" s="184"/>
      <c r="E576" s="186"/>
    </row>
    <row r="577" spans="3:5" x14ac:dyDescent="0.25">
      <c r="C577" s="184"/>
      <c r="D577" s="184"/>
      <c r="E577" s="194"/>
    </row>
    <row r="578" spans="3:5" x14ac:dyDescent="0.25">
      <c r="C578" s="184"/>
      <c r="D578" s="184"/>
      <c r="E578" s="186"/>
    </row>
    <row r="579" spans="3:5" x14ac:dyDescent="0.25">
      <c r="C579" s="184"/>
      <c r="D579" s="184"/>
      <c r="E579" s="194"/>
    </row>
    <row r="580" spans="3:5" x14ac:dyDescent="0.25">
      <c r="C580" s="184"/>
      <c r="D580" s="184"/>
      <c r="E580" s="186"/>
    </row>
    <row r="581" spans="3:5" x14ac:dyDescent="0.25">
      <c r="C581" s="184"/>
      <c r="D581" s="184"/>
      <c r="E581" s="194"/>
    </row>
    <row r="582" spans="3:5" x14ac:dyDescent="0.25">
      <c r="C582" s="184"/>
      <c r="D582" s="184"/>
      <c r="E582" s="186"/>
    </row>
    <row r="583" spans="3:5" x14ac:dyDescent="0.25">
      <c r="C583" s="184"/>
      <c r="D583" s="184"/>
      <c r="E583" s="194"/>
    </row>
    <row r="584" spans="3:5" x14ac:dyDescent="0.25">
      <c r="C584" s="184"/>
      <c r="D584" s="184"/>
      <c r="E584" s="186"/>
    </row>
    <row r="585" spans="3:5" x14ac:dyDescent="0.25">
      <c r="C585" s="184"/>
      <c r="D585" s="184"/>
      <c r="E585" s="194"/>
    </row>
    <row r="586" spans="3:5" x14ac:dyDescent="0.25">
      <c r="C586" s="184"/>
      <c r="D586" s="184"/>
      <c r="E586" s="186"/>
    </row>
    <row r="587" spans="3:5" x14ac:dyDescent="0.25">
      <c r="C587" s="184"/>
      <c r="D587" s="184"/>
      <c r="E587" s="194"/>
    </row>
    <row r="588" spans="3:5" x14ac:dyDescent="0.25">
      <c r="C588" s="184"/>
      <c r="D588" s="184"/>
      <c r="E588" s="186"/>
    </row>
    <row r="589" spans="3:5" x14ac:dyDescent="0.25">
      <c r="C589" s="184"/>
      <c r="D589" s="184"/>
      <c r="E589" s="194"/>
    </row>
    <row r="590" spans="3:5" x14ac:dyDescent="0.25">
      <c r="C590" s="184"/>
      <c r="D590" s="184"/>
      <c r="E590" s="186"/>
    </row>
    <row r="591" spans="3:5" x14ac:dyDescent="0.25">
      <c r="C591" s="184"/>
      <c r="D591" s="184"/>
      <c r="E591" s="194"/>
    </row>
    <row r="592" spans="3:5" x14ac:dyDescent="0.25">
      <c r="C592" s="184"/>
      <c r="D592" s="184"/>
      <c r="E592" s="186"/>
    </row>
    <row r="593" spans="3:5" x14ac:dyDescent="0.25">
      <c r="C593" s="184"/>
      <c r="D593" s="184"/>
      <c r="E593" s="194"/>
    </row>
    <row r="594" spans="3:5" x14ac:dyDescent="0.25">
      <c r="C594" s="184"/>
      <c r="D594" s="184"/>
      <c r="E594" s="186"/>
    </row>
    <row r="595" spans="3:5" x14ac:dyDescent="0.25">
      <c r="C595" s="184"/>
      <c r="D595" s="184"/>
      <c r="E595" s="194"/>
    </row>
    <row r="596" spans="3:5" x14ac:dyDescent="0.25">
      <c r="C596" s="184"/>
      <c r="D596" s="184"/>
      <c r="E596" s="186"/>
    </row>
    <row r="597" spans="3:5" x14ac:dyDescent="0.25">
      <c r="C597" s="184"/>
      <c r="D597" s="184"/>
      <c r="E597" s="194"/>
    </row>
    <row r="598" spans="3:5" x14ac:dyDescent="0.25">
      <c r="C598" s="184"/>
      <c r="D598" s="184"/>
      <c r="E598" s="186"/>
    </row>
    <row r="599" spans="3:5" x14ac:dyDescent="0.25">
      <c r="C599" s="184"/>
      <c r="D599" s="184"/>
      <c r="E599" s="194"/>
    </row>
    <row r="600" spans="3:5" x14ac:dyDescent="0.25">
      <c r="C600" s="184"/>
      <c r="D600" s="184"/>
      <c r="E600" s="186"/>
    </row>
    <row r="601" spans="3:5" x14ac:dyDescent="0.25">
      <c r="C601" s="184"/>
      <c r="D601" s="184"/>
      <c r="E601" s="194"/>
    </row>
    <row r="602" spans="3:5" x14ac:dyDescent="0.25">
      <c r="C602" s="184"/>
      <c r="D602" s="184"/>
      <c r="E602" s="186"/>
    </row>
    <row r="603" spans="3:5" x14ac:dyDescent="0.25">
      <c r="C603" s="184"/>
      <c r="D603" s="184"/>
      <c r="E603" s="194"/>
    </row>
    <row r="604" spans="3:5" x14ac:dyDescent="0.25">
      <c r="C604" s="184"/>
      <c r="D604" s="184"/>
      <c r="E604" s="186"/>
    </row>
    <row r="605" spans="3:5" x14ac:dyDescent="0.25">
      <c r="C605" s="184"/>
      <c r="D605" s="184"/>
      <c r="E605" s="194"/>
    </row>
    <row r="606" spans="3:5" x14ac:dyDescent="0.25">
      <c r="C606" s="184"/>
      <c r="D606" s="184"/>
      <c r="E606" s="186"/>
    </row>
    <row r="607" spans="3:5" x14ac:dyDescent="0.25">
      <c r="C607" s="184"/>
      <c r="D607" s="184"/>
      <c r="E607" s="194"/>
    </row>
    <row r="608" spans="3:5" x14ac:dyDescent="0.25">
      <c r="C608" s="184"/>
      <c r="D608" s="184"/>
      <c r="E608" s="186"/>
    </row>
    <row r="609" spans="3:5" x14ac:dyDescent="0.25">
      <c r="C609" s="184"/>
      <c r="D609" s="184"/>
      <c r="E609" s="194"/>
    </row>
    <row r="610" spans="3:5" x14ac:dyDescent="0.25">
      <c r="C610" s="184"/>
      <c r="D610" s="184"/>
      <c r="E610" s="185"/>
    </row>
    <row r="611" spans="3:5" x14ac:dyDescent="0.25">
      <c r="C611" s="184"/>
      <c r="D611" s="184"/>
      <c r="E611" s="194"/>
    </row>
    <row r="612" spans="3:5" x14ac:dyDescent="0.25">
      <c r="C612" s="184"/>
      <c r="D612" s="184"/>
      <c r="E612" s="186"/>
    </row>
    <row r="613" spans="3:5" x14ac:dyDescent="0.25">
      <c r="C613" s="184"/>
      <c r="D613" s="184"/>
      <c r="E613" s="194"/>
    </row>
    <row r="614" spans="3:5" x14ac:dyDescent="0.25">
      <c r="C614" s="184"/>
      <c r="D614" s="184"/>
      <c r="E614" s="186"/>
    </row>
    <row r="615" spans="3:5" x14ac:dyDescent="0.25">
      <c r="C615" s="184"/>
      <c r="D615" s="184"/>
      <c r="E615" s="194"/>
    </row>
    <row r="616" spans="3:5" x14ac:dyDescent="0.25">
      <c r="C616" s="184"/>
      <c r="D616" s="184"/>
      <c r="E616" s="190"/>
    </row>
    <row r="617" spans="3:5" x14ac:dyDescent="0.25">
      <c r="C617" s="184"/>
      <c r="D617" s="184"/>
      <c r="E617" s="194"/>
    </row>
    <row r="618" spans="3:5" x14ac:dyDescent="0.25">
      <c r="C618" s="184"/>
      <c r="D618" s="184"/>
      <c r="E618" s="190"/>
    </row>
    <row r="619" spans="3:5" x14ac:dyDescent="0.25">
      <c r="C619" s="184"/>
      <c r="D619" s="184"/>
      <c r="E619" s="194"/>
    </row>
    <row r="620" spans="3:5" x14ac:dyDescent="0.25">
      <c r="C620" s="184"/>
      <c r="D620" s="184"/>
      <c r="E620" s="186"/>
    </row>
    <row r="621" spans="3:5" x14ac:dyDescent="0.25">
      <c r="C621" s="184"/>
      <c r="D621" s="184"/>
      <c r="E621" s="194"/>
    </row>
    <row r="622" spans="3:5" x14ac:dyDescent="0.25">
      <c r="C622" s="184"/>
      <c r="D622" s="184"/>
      <c r="E622" s="186"/>
    </row>
    <row r="623" spans="3:5" x14ac:dyDescent="0.25">
      <c r="C623" s="184"/>
      <c r="D623" s="184"/>
      <c r="E623" s="194"/>
    </row>
    <row r="624" spans="3:5" x14ac:dyDescent="0.25">
      <c r="C624" s="184"/>
      <c r="D624" s="184"/>
      <c r="E624" s="186"/>
    </row>
    <row r="625" spans="3:5" x14ac:dyDescent="0.25">
      <c r="C625" s="184"/>
      <c r="D625" s="184"/>
      <c r="E625" s="194"/>
    </row>
    <row r="626" spans="3:5" x14ac:dyDescent="0.25">
      <c r="C626" s="184"/>
      <c r="D626" s="184"/>
      <c r="E626" s="186"/>
    </row>
    <row r="627" spans="3:5" x14ac:dyDescent="0.25">
      <c r="C627" s="184"/>
      <c r="D627" s="184"/>
      <c r="E627" s="194"/>
    </row>
    <row r="628" spans="3:5" x14ac:dyDescent="0.25">
      <c r="C628" s="184"/>
      <c r="D628" s="184"/>
      <c r="E628" s="186"/>
    </row>
    <row r="629" spans="3:5" x14ac:dyDescent="0.25">
      <c r="C629" s="184"/>
      <c r="D629" s="184"/>
      <c r="E629" s="194"/>
    </row>
    <row r="630" spans="3:5" x14ac:dyDescent="0.25">
      <c r="C630" s="184"/>
      <c r="D630" s="184"/>
      <c r="E630" s="186"/>
    </row>
    <row r="631" spans="3:5" x14ac:dyDescent="0.25">
      <c r="C631" s="184"/>
      <c r="D631" s="184"/>
      <c r="E631" s="194"/>
    </row>
    <row r="632" spans="3:5" x14ac:dyDescent="0.25">
      <c r="C632" s="184"/>
      <c r="D632" s="184"/>
      <c r="E632" s="186"/>
    </row>
    <row r="633" spans="3:5" x14ac:dyDescent="0.25">
      <c r="C633" s="184"/>
      <c r="D633" s="184"/>
      <c r="E633" s="194"/>
    </row>
    <row r="634" spans="3:5" x14ac:dyDescent="0.25">
      <c r="C634" s="184"/>
      <c r="D634" s="184"/>
      <c r="E634" s="186"/>
    </row>
    <row r="635" spans="3:5" x14ac:dyDescent="0.25">
      <c r="C635" s="184"/>
      <c r="D635" s="184"/>
      <c r="E635" s="194"/>
    </row>
    <row r="636" spans="3:5" x14ac:dyDescent="0.25">
      <c r="C636" s="184"/>
      <c r="D636" s="184"/>
      <c r="E636" s="186"/>
    </row>
    <row r="637" spans="3:5" x14ac:dyDescent="0.25">
      <c r="C637" s="184"/>
      <c r="D637" s="184"/>
      <c r="E637" s="194"/>
    </row>
    <row r="638" spans="3:5" x14ac:dyDescent="0.25">
      <c r="C638" s="184"/>
      <c r="D638" s="184"/>
      <c r="E638" s="186"/>
    </row>
    <row r="639" spans="3:5" x14ac:dyDescent="0.25">
      <c r="C639" s="184"/>
      <c r="D639" s="184"/>
      <c r="E639" s="194"/>
    </row>
    <row r="640" spans="3:5" x14ac:dyDescent="0.25">
      <c r="C640" s="184"/>
      <c r="D640" s="184"/>
      <c r="E640" s="186"/>
    </row>
    <row r="641" spans="3:5" x14ac:dyDescent="0.25">
      <c r="C641" s="184"/>
      <c r="D641" s="184"/>
      <c r="E641" s="194"/>
    </row>
    <row r="642" spans="3:5" x14ac:dyDescent="0.25">
      <c r="C642" s="184"/>
      <c r="D642" s="184"/>
      <c r="E642" s="186"/>
    </row>
    <row r="643" spans="3:5" x14ac:dyDescent="0.25">
      <c r="C643" s="184"/>
      <c r="D643" s="184"/>
      <c r="E643" s="194"/>
    </row>
    <row r="644" spans="3:5" x14ac:dyDescent="0.25">
      <c r="C644" s="184"/>
      <c r="D644" s="184"/>
      <c r="E644" s="186"/>
    </row>
    <row r="645" spans="3:5" x14ac:dyDescent="0.25">
      <c r="C645" s="184"/>
      <c r="D645" s="184"/>
      <c r="E645" s="194"/>
    </row>
    <row r="646" spans="3:5" x14ac:dyDescent="0.25">
      <c r="C646" s="184"/>
      <c r="D646" s="184"/>
      <c r="E646" s="186"/>
    </row>
    <row r="647" spans="3:5" x14ac:dyDescent="0.25">
      <c r="C647" s="184"/>
      <c r="D647" s="184"/>
      <c r="E647" s="194"/>
    </row>
    <row r="648" spans="3:5" x14ac:dyDescent="0.25">
      <c r="C648" s="184"/>
      <c r="D648" s="184"/>
      <c r="E648" s="186"/>
    </row>
    <row r="649" spans="3:5" x14ac:dyDescent="0.25">
      <c r="C649" s="184"/>
      <c r="D649" s="184"/>
      <c r="E649" s="194"/>
    </row>
    <row r="650" spans="3:5" x14ac:dyDescent="0.25">
      <c r="C650" s="184"/>
      <c r="D650" s="184"/>
      <c r="E650" s="186"/>
    </row>
    <row r="651" spans="3:5" x14ac:dyDescent="0.25">
      <c r="C651" s="184"/>
      <c r="D651" s="184"/>
      <c r="E651" s="194"/>
    </row>
    <row r="652" spans="3:5" x14ac:dyDescent="0.25">
      <c r="C652" s="184"/>
      <c r="D652" s="184"/>
      <c r="E652" s="186"/>
    </row>
    <row r="653" spans="3:5" x14ac:dyDescent="0.25">
      <c r="C653" s="184"/>
      <c r="D653" s="184"/>
      <c r="E653" s="194"/>
    </row>
    <row r="654" spans="3:5" x14ac:dyDescent="0.25">
      <c r="C654" s="184"/>
      <c r="D654" s="184"/>
      <c r="E654" s="190"/>
    </row>
    <row r="655" spans="3:5" x14ac:dyDescent="0.25">
      <c r="C655" s="184"/>
      <c r="D655" s="184"/>
      <c r="E655" s="194"/>
    </row>
    <row r="656" spans="3:5" x14ac:dyDescent="0.25">
      <c r="C656" s="184"/>
      <c r="D656" s="184"/>
      <c r="E656" s="190"/>
    </row>
    <row r="657" spans="3:5" x14ac:dyDescent="0.25">
      <c r="C657" s="184"/>
      <c r="D657" s="184"/>
      <c r="E657" s="194"/>
    </row>
    <row r="658" spans="3:5" x14ac:dyDescent="0.25">
      <c r="C658" s="184"/>
      <c r="D658" s="184"/>
      <c r="E658" s="190"/>
    </row>
    <row r="659" spans="3:5" x14ac:dyDescent="0.25">
      <c r="D659"/>
      <c r="E659"/>
    </row>
    <row r="660" spans="3:5" x14ac:dyDescent="0.25">
      <c r="D660"/>
      <c r="E660"/>
    </row>
    <row r="661" spans="3:5" x14ac:dyDescent="0.25">
      <c r="D661"/>
      <c r="E661"/>
    </row>
    <row r="662" spans="3:5" x14ac:dyDescent="0.25">
      <c r="D662"/>
      <c r="E662"/>
    </row>
  </sheetData>
  <conditionalFormatting sqref="B119">
    <cfRule type="cellIs" dxfId="168" priority="29" operator="lessThan">
      <formula>0</formula>
    </cfRule>
  </conditionalFormatting>
  <conditionalFormatting sqref="B119:B135">
    <cfRule type="expression" dxfId="167" priority="28">
      <formula>$L119&lt;0</formula>
    </cfRule>
  </conditionalFormatting>
  <conditionalFormatting sqref="B140:B157">
    <cfRule type="expression" dxfId="166" priority="27">
      <formula>$L140&lt;0</formula>
    </cfRule>
  </conditionalFormatting>
  <conditionalFormatting sqref="B162:B178">
    <cfRule type="expression" dxfId="165" priority="26">
      <formula>$L162&lt;0</formula>
    </cfRule>
  </conditionalFormatting>
  <conditionalFormatting sqref="B182:B186">
    <cfRule type="expression" dxfId="164" priority="25">
      <formula>$L182&lt;0</formula>
    </cfRule>
  </conditionalFormatting>
  <conditionalFormatting sqref="B191:B205">
    <cfRule type="expression" dxfId="163" priority="24">
      <formula>$L191&lt;0</formula>
    </cfRule>
  </conditionalFormatting>
  <conditionalFormatting sqref="B210:B229">
    <cfRule type="expression" dxfId="162" priority="23">
      <formula>$L210&lt;0</formula>
    </cfRule>
  </conditionalFormatting>
  <conditionalFormatting sqref="B234:B254">
    <cfRule type="expression" dxfId="161" priority="22">
      <formula>$L234&lt;0</formula>
    </cfRule>
  </conditionalFormatting>
  <conditionalFormatting sqref="B262:B273">
    <cfRule type="expression" dxfId="160" priority="21">
      <formula>$L262&lt;0</formula>
    </cfRule>
  </conditionalFormatting>
  <conditionalFormatting sqref="B280:B291">
    <cfRule type="expression" dxfId="159" priority="20">
      <formula>$L280&lt;0</formula>
    </cfRule>
  </conditionalFormatting>
  <conditionalFormatting sqref="B296:B313">
    <cfRule type="expression" dxfId="158" priority="19">
      <formula>$L296&lt;0</formula>
    </cfRule>
  </conditionalFormatting>
  <conditionalFormatting sqref="B322:B335">
    <cfRule type="expression" dxfId="157" priority="18">
      <formula>$L322&lt;0</formula>
    </cfRule>
  </conditionalFormatting>
  <conditionalFormatting sqref="B344:B355">
    <cfRule type="expression" dxfId="156" priority="17">
      <formula>$L344&lt;0</formula>
    </cfRule>
  </conditionalFormatting>
  <conditionalFormatting sqref="B360:B374">
    <cfRule type="expression" dxfId="155" priority="16">
      <formula>$L360&lt;0</formula>
    </cfRule>
  </conditionalFormatting>
  <conditionalFormatting sqref="B379:B397">
    <cfRule type="expression" dxfId="154" priority="15">
      <formula>$L379&lt;0</formula>
    </cfRule>
  </conditionalFormatting>
  <conditionalFormatting sqref="B403:B405">
    <cfRule type="expression" dxfId="153" priority="14">
      <formula>$L403&lt;0</formula>
    </cfRule>
  </conditionalFormatting>
  <conditionalFormatting sqref="B427">
    <cfRule type="expression" dxfId="152" priority="13">
      <formula>$L427&lt;0</formula>
    </cfRule>
  </conditionalFormatting>
  <conditionalFormatting sqref="B451:B452">
    <cfRule type="expression" dxfId="151" priority="12">
      <formula>$L451&lt;0</formula>
    </cfRule>
  </conditionalFormatting>
  <conditionalFormatting sqref="B457:B459">
    <cfRule type="expression" dxfId="150" priority="11">
      <formula>$L457&lt;0</formula>
    </cfRule>
  </conditionalFormatting>
  <conditionalFormatting sqref="B464:B465">
    <cfRule type="expression" dxfId="149" priority="10">
      <formula>$L464&lt;0</formula>
    </cfRule>
  </conditionalFormatting>
  <conditionalFormatting sqref="B470:B472">
    <cfRule type="expression" dxfId="148" priority="9">
      <formula>$L470&lt;0</formula>
    </cfRule>
  </conditionalFormatting>
  <conditionalFormatting sqref="B477:B478">
    <cfRule type="expression" dxfId="147" priority="8">
      <formula>$L477&lt;0</formula>
    </cfRule>
  </conditionalFormatting>
  <conditionalFormatting sqref="B483:B487">
    <cfRule type="expression" dxfId="146" priority="7">
      <formula>$L483&lt;0</formula>
    </cfRule>
  </conditionalFormatting>
  <conditionalFormatting sqref="B492:B493">
    <cfRule type="expression" dxfId="145" priority="6">
      <formula>$L492&lt;0</formula>
    </cfRule>
  </conditionalFormatting>
  <conditionalFormatting sqref="B498:B505">
    <cfRule type="expression" dxfId="144" priority="5">
      <formula>$L498&lt;0</formula>
    </cfRule>
  </conditionalFormatting>
  <conditionalFormatting sqref="B512:B514">
    <cfRule type="expression" dxfId="143" priority="4">
      <formula>$L512&lt;0</formula>
    </cfRule>
  </conditionalFormatting>
  <conditionalFormatting sqref="B522:B524">
    <cfRule type="expression" dxfId="142" priority="3">
      <formula>$L522&lt;0</formula>
    </cfRule>
  </conditionalFormatting>
  <conditionalFormatting sqref="B530:B533">
    <cfRule type="expression" dxfId="141" priority="2">
      <formula>$L530&lt;0</formula>
    </cfRule>
  </conditionalFormatting>
  <conditionalFormatting sqref="B540:B542">
    <cfRule type="expression" dxfId="140" priority="1">
      <formula>$L540&lt;0</formula>
    </cfRule>
  </conditionalFormatting>
  <conditionalFormatting sqref="C177">
    <cfRule type="expression" dxfId="139" priority="47">
      <formula>$L177&lt;0</formula>
    </cfRule>
  </conditionalFormatting>
  <conditionalFormatting sqref="C253">
    <cfRule type="expression" dxfId="138" priority="40">
      <formula>$L253&lt;0</formula>
    </cfRule>
  </conditionalFormatting>
  <conditionalFormatting sqref="D119">
    <cfRule type="cellIs" dxfId="137" priority="53" operator="lessThan">
      <formula>0</formula>
    </cfRule>
  </conditionalFormatting>
  <conditionalFormatting sqref="D119:D135">
    <cfRule type="expression" dxfId="136" priority="52">
      <formula>$L119&lt;0</formula>
    </cfRule>
  </conditionalFormatting>
  <conditionalFormatting sqref="D137">
    <cfRule type="expression" dxfId="135" priority="51">
      <formula>$L137&lt;0</formula>
    </cfRule>
  </conditionalFormatting>
  <conditionalFormatting sqref="D140:D157">
    <cfRule type="expression" dxfId="134" priority="49">
      <formula>$L140&lt;0</formula>
    </cfRule>
  </conditionalFormatting>
  <conditionalFormatting sqref="D182:D186">
    <cfRule type="expression" dxfId="133" priority="45">
      <formula>$L182&lt;0</formula>
    </cfRule>
  </conditionalFormatting>
  <conditionalFormatting sqref="D231">
    <cfRule type="expression" dxfId="132" priority="42">
      <formula>$L231&lt;0</formula>
    </cfRule>
  </conditionalFormatting>
  <conditionalFormatting sqref="D280:D291">
    <cfRule type="expression" dxfId="131" priority="30">
      <formula>$L280&lt;0</formula>
    </cfRule>
  </conditionalFormatting>
  <conditionalFormatting sqref="D489">
    <cfRule type="expression" dxfId="130" priority="31">
      <formula>$L489&lt;0</formula>
    </cfRule>
  </conditionalFormatting>
  <conditionalFormatting sqref="D507">
    <cfRule type="expression" dxfId="129" priority="32">
      <formula>$L507&lt;0</formula>
    </cfRule>
  </conditionalFormatting>
  <pageMargins left="0.43" right="0.17" top="0.75" bottom="0.75" header="0.3" footer="0.3"/>
  <pageSetup scale="90"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0675B-4385-4E06-A51E-4021B417A212}">
  <dimension ref="A1:O794"/>
  <sheetViews>
    <sheetView topLeftCell="B411" workbookViewId="0">
      <selection activeCell="F674" sqref="F674"/>
    </sheetView>
  </sheetViews>
  <sheetFormatPr defaultColWidth="8.88671875" defaultRowHeight="13.2" x14ac:dyDescent="0.25"/>
  <cols>
    <col min="1" max="1" width="3.6640625" style="184" customWidth="1"/>
    <col min="2" max="2" width="40.6640625" style="184" customWidth="1"/>
    <col min="3" max="5" width="15.6640625" style="185" customWidth="1"/>
    <col min="6" max="6" width="19.44140625" style="196" customWidth="1"/>
    <col min="7" max="7" width="15.6640625" style="196" customWidth="1"/>
    <col min="8" max="8" width="15.6640625" style="186" customWidth="1"/>
    <col min="9" max="11" width="15.6640625" style="185" customWidth="1"/>
    <col min="12" max="12" width="14.44140625" style="196" bestFit="1" customWidth="1"/>
    <col min="13" max="15" width="14.44140625" style="196" customWidth="1"/>
    <col min="16" max="16384" width="8.88671875" style="184"/>
  </cols>
  <sheetData>
    <row r="1" spans="1:15" x14ac:dyDescent="0.25">
      <c r="D1" s="186"/>
      <c r="E1" s="187"/>
      <c r="F1" s="188" t="s">
        <v>131</v>
      </c>
      <c r="G1" s="189"/>
      <c r="H1" s="190"/>
      <c r="I1" s="191"/>
      <c r="J1" s="191"/>
      <c r="K1" s="189"/>
      <c r="L1" s="189"/>
      <c r="M1" s="189"/>
      <c r="N1" s="189"/>
      <c r="O1" s="189"/>
    </row>
    <row r="2" spans="1:15" ht="13.8" thickBot="1" x14ac:dyDescent="0.3">
      <c r="F2" s="188"/>
    </row>
    <row r="3" spans="1:15" x14ac:dyDescent="0.25">
      <c r="B3" s="197" t="s">
        <v>173</v>
      </c>
      <c r="C3" s="198" t="s">
        <v>174</v>
      </c>
      <c r="D3" s="198" t="s">
        <v>175</v>
      </c>
      <c r="E3" s="198" t="s">
        <v>176</v>
      </c>
      <c r="F3" s="199" t="s">
        <v>177</v>
      </c>
      <c r="G3" s="198" t="s">
        <v>178</v>
      </c>
      <c r="H3" s="200" t="s">
        <v>0</v>
      </c>
      <c r="I3" s="198" t="s">
        <v>179</v>
      </c>
      <c r="J3" s="198" t="s">
        <v>179</v>
      </c>
      <c r="K3" s="198" t="s">
        <v>179</v>
      </c>
      <c r="L3" s="201" t="s">
        <v>180</v>
      </c>
      <c r="M3" s="202" t="s">
        <v>181</v>
      </c>
      <c r="N3" s="202" t="s">
        <v>182</v>
      </c>
      <c r="O3" s="201" t="s">
        <v>183</v>
      </c>
    </row>
    <row r="4" spans="1:15" ht="13.8" thickBot="1" x14ac:dyDescent="0.3">
      <c r="B4" s="204"/>
      <c r="C4" s="205"/>
      <c r="D4" s="206" t="s">
        <v>178</v>
      </c>
      <c r="E4" s="206" t="s">
        <v>186</v>
      </c>
      <c r="F4" s="207" t="s">
        <v>187</v>
      </c>
      <c r="G4" s="208"/>
      <c r="H4" s="209" t="s">
        <v>188</v>
      </c>
      <c r="I4" s="206" t="s">
        <v>189</v>
      </c>
      <c r="J4" s="210" t="s">
        <v>190</v>
      </c>
      <c r="K4" s="210" t="s">
        <v>191</v>
      </c>
      <c r="L4" s="206" t="s">
        <v>192</v>
      </c>
      <c r="M4" s="206" t="s">
        <v>193</v>
      </c>
      <c r="N4" s="206" t="s">
        <v>193</v>
      </c>
      <c r="O4" s="206" t="s">
        <v>193</v>
      </c>
    </row>
    <row r="5" spans="1:15" x14ac:dyDescent="0.25">
      <c r="C5" s="212"/>
      <c r="D5" s="213"/>
      <c r="E5" s="213"/>
      <c r="F5" s="214"/>
      <c r="G5" s="215"/>
      <c r="H5" s="216"/>
      <c r="I5" s="213"/>
      <c r="J5" s="217"/>
      <c r="K5" s="217"/>
      <c r="L5" s="213"/>
      <c r="M5" s="213"/>
      <c r="N5" s="213"/>
      <c r="O5" s="213"/>
    </row>
    <row r="6" spans="1:15" x14ac:dyDescent="0.25">
      <c r="A6" s="219" t="s">
        <v>197</v>
      </c>
      <c r="B6" s="220"/>
      <c r="C6" s="212"/>
      <c r="D6" s="213"/>
      <c r="E6" s="213"/>
      <c r="F6" s="221"/>
      <c r="G6" s="222"/>
      <c r="H6" s="223"/>
      <c r="I6" s="222"/>
      <c r="J6" s="222"/>
      <c r="K6" s="222"/>
      <c r="L6" s="221"/>
      <c r="M6" s="221"/>
      <c r="N6" s="221"/>
      <c r="O6" s="221"/>
    </row>
    <row r="7" spans="1:15" x14ac:dyDescent="0.25">
      <c r="B7" s="184" t="s">
        <v>199</v>
      </c>
      <c r="C7" s="212">
        <v>5000000</v>
      </c>
      <c r="D7" s="213"/>
      <c r="E7" s="213"/>
      <c r="F7" s="225"/>
      <c r="G7" s="222">
        <v>5000000</v>
      </c>
      <c r="H7" s="223">
        <v>83059.860000000015</v>
      </c>
      <c r="I7" s="221"/>
      <c r="J7" s="226"/>
      <c r="K7" s="226"/>
      <c r="L7" s="221">
        <f t="shared" ref="L7:L23" si="0">G7-H7-I7-J7-K7</f>
        <v>4916940.1399999997</v>
      </c>
      <c r="M7" s="221">
        <f>H7-N7-O7</f>
        <v>83059.860000000015</v>
      </c>
      <c r="N7" s="221">
        <v>0</v>
      </c>
      <c r="O7" s="221">
        <v>0</v>
      </c>
    </row>
    <row r="8" spans="1:15" x14ac:dyDescent="0.25">
      <c r="B8" s="224" t="s">
        <v>201</v>
      </c>
      <c r="C8" s="212"/>
      <c r="D8" s="213"/>
      <c r="E8" s="213"/>
      <c r="F8" s="214"/>
      <c r="G8" s="222"/>
      <c r="H8" s="223"/>
      <c r="I8" s="221"/>
      <c r="J8" s="226"/>
      <c r="K8" s="226"/>
      <c r="L8" s="221"/>
      <c r="M8" s="221"/>
      <c r="N8" s="221"/>
      <c r="O8" s="221"/>
    </row>
    <row r="9" spans="1:15" x14ac:dyDescent="0.25">
      <c r="B9" s="184" t="s">
        <v>202</v>
      </c>
      <c r="C9" s="212">
        <f>300000+3000000+1400000+500000+1200000+300000+150000+750000+800000+500000+491988</f>
        <v>9391988</v>
      </c>
      <c r="D9" s="213"/>
      <c r="E9" s="213"/>
      <c r="F9" s="100"/>
      <c r="G9" s="222">
        <v>9391988</v>
      </c>
      <c r="H9" s="223">
        <f>4480983.78-2253426.81</f>
        <v>2227556.9700000002</v>
      </c>
      <c r="I9" s="221">
        <v>2253426.81</v>
      </c>
      <c r="J9" s="226"/>
      <c r="K9" s="226"/>
      <c r="L9" s="221">
        <f t="shared" si="0"/>
        <v>4911004.2199999988</v>
      </c>
      <c r="M9" s="221">
        <f>H9-N9-O9+I9</f>
        <v>4480983.78</v>
      </c>
      <c r="N9" s="221">
        <v>0</v>
      </c>
      <c r="O9" s="221">
        <v>0</v>
      </c>
    </row>
    <row r="10" spans="1:15" x14ac:dyDescent="0.25">
      <c r="B10" s="184" t="s">
        <v>203</v>
      </c>
      <c r="C10" s="212">
        <f>990000+990000+990000+800000+1142729</f>
        <v>4912729</v>
      </c>
      <c r="D10" s="213"/>
      <c r="E10" s="213"/>
      <c r="F10" s="214"/>
      <c r="G10" s="222">
        <v>4912729</v>
      </c>
      <c r="H10" s="223">
        <v>87876.76</v>
      </c>
      <c r="I10" s="221"/>
      <c r="J10" s="226"/>
      <c r="K10" s="226"/>
      <c r="L10" s="221">
        <f t="shared" si="0"/>
        <v>4824852.24</v>
      </c>
      <c r="M10" s="221">
        <f t="shared" ref="M10:M23" si="1">H10-N10-O10</f>
        <v>87876.76</v>
      </c>
      <c r="N10" s="221">
        <v>0</v>
      </c>
      <c r="O10" s="221">
        <v>0</v>
      </c>
    </row>
    <row r="11" spans="1:15" x14ac:dyDescent="0.25">
      <c r="B11" s="184" t="s">
        <v>204</v>
      </c>
      <c r="C11" s="212">
        <v>1244579</v>
      </c>
      <c r="D11" s="213"/>
      <c r="E11" s="213"/>
      <c r="F11" s="100"/>
      <c r="G11" s="222">
        <v>1244579</v>
      </c>
      <c r="H11" s="223">
        <v>0</v>
      </c>
      <c r="I11" s="221"/>
      <c r="J11" s="226"/>
      <c r="K11" s="226"/>
      <c r="L11" s="221">
        <f t="shared" si="0"/>
        <v>1244579</v>
      </c>
      <c r="M11" s="221">
        <f t="shared" si="1"/>
        <v>0</v>
      </c>
      <c r="N11" s="221">
        <v>0</v>
      </c>
      <c r="O11" s="221">
        <v>0</v>
      </c>
    </row>
    <row r="12" spans="1:15" x14ac:dyDescent="0.25">
      <c r="B12" s="184" t="s">
        <v>205</v>
      </c>
      <c r="C12" s="212">
        <v>2283810</v>
      </c>
      <c r="D12" s="213"/>
      <c r="E12" s="213"/>
      <c r="F12" s="214"/>
      <c r="G12" s="222">
        <v>2283810</v>
      </c>
      <c r="H12" s="223">
        <v>60394.39</v>
      </c>
      <c r="I12" s="221"/>
      <c r="J12" s="226"/>
      <c r="K12" s="226"/>
      <c r="L12" s="221">
        <f t="shared" si="0"/>
        <v>2223415.61</v>
      </c>
      <c r="M12" s="221">
        <f t="shared" si="1"/>
        <v>60394.39</v>
      </c>
      <c r="N12" s="221">
        <v>0</v>
      </c>
      <c r="O12" s="221">
        <v>0</v>
      </c>
    </row>
    <row r="13" spans="1:15" x14ac:dyDescent="0.25">
      <c r="B13" s="184" t="s">
        <v>206</v>
      </c>
      <c r="C13" s="212">
        <v>284107</v>
      </c>
      <c r="D13" s="213"/>
      <c r="E13" s="213"/>
      <c r="F13" s="214"/>
      <c r="G13" s="222">
        <v>284107</v>
      </c>
      <c r="H13" s="223">
        <v>0</v>
      </c>
      <c r="I13" s="221"/>
      <c r="J13" s="226"/>
      <c r="K13" s="226"/>
      <c r="L13" s="221">
        <f t="shared" si="0"/>
        <v>284107</v>
      </c>
      <c r="M13" s="221">
        <f t="shared" si="1"/>
        <v>0</v>
      </c>
      <c r="N13" s="221">
        <v>0</v>
      </c>
      <c r="O13" s="221">
        <v>0</v>
      </c>
    </row>
    <row r="14" spans="1:15" x14ac:dyDescent="0.25">
      <c r="B14" s="184" t="s">
        <v>207</v>
      </c>
      <c r="C14" s="212">
        <v>936895</v>
      </c>
      <c r="D14" s="213"/>
      <c r="E14" s="213"/>
      <c r="F14" s="214"/>
      <c r="G14" s="222">
        <v>936895</v>
      </c>
      <c r="H14" s="223">
        <v>0</v>
      </c>
      <c r="I14" s="221"/>
      <c r="J14" s="226"/>
      <c r="K14" s="226"/>
      <c r="L14" s="221">
        <f t="shared" si="0"/>
        <v>936895</v>
      </c>
      <c r="M14" s="221">
        <f t="shared" si="1"/>
        <v>0</v>
      </c>
      <c r="N14" s="221">
        <v>0</v>
      </c>
      <c r="O14" s="221">
        <v>0</v>
      </c>
    </row>
    <row r="15" spans="1:15" x14ac:dyDescent="0.25">
      <c r="B15" s="184" t="s">
        <v>208</v>
      </c>
      <c r="C15" s="212">
        <v>664609</v>
      </c>
      <c r="D15" s="213"/>
      <c r="E15" s="213"/>
      <c r="F15" s="214"/>
      <c r="G15" s="222">
        <v>664609</v>
      </c>
      <c r="H15" s="223">
        <v>0</v>
      </c>
      <c r="I15" s="221"/>
      <c r="J15" s="226"/>
      <c r="K15" s="226"/>
      <c r="L15" s="221">
        <f t="shared" si="0"/>
        <v>664609</v>
      </c>
      <c r="M15" s="221">
        <f t="shared" si="1"/>
        <v>0</v>
      </c>
      <c r="N15" s="221">
        <v>0</v>
      </c>
      <c r="O15" s="221">
        <v>0</v>
      </c>
    </row>
    <row r="16" spans="1:15" x14ac:dyDescent="0.25">
      <c r="B16" s="184" t="s">
        <v>209</v>
      </c>
      <c r="C16" s="212">
        <v>551730</v>
      </c>
      <c r="D16" s="213"/>
      <c r="E16" s="213"/>
      <c r="F16" s="100"/>
      <c r="G16" s="222">
        <v>551730</v>
      </c>
      <c r="H16" s="223">
        <v>36353.839999999997</v>
      </c>
      <c r="I16" s="221"/>
      <c r="J16" s="226"/>
      <c r="K16" s="226"/>
      <c r="L16" s="221">
        <f t="shared" si="0"/>
        <v>515376.16000000003</v>
      </c>
      <c r="M16" s="221">
        <f t="shared" si="1"/>
        <v>36353.839999999997</v>
      </c>
      <c r="N16" s="221">
        <v>0</v>
      </c>
      <c r="O16" s="221">
        <v>0</v>
      </c>
    </row>
    <row r="17" spans="1:15" x14ac:dyDescent="0.25">
      <c r="B17" s="184" t="s">
        <v>210</v>
      </c>
      <c r="C17" s="212">
        <v>961364</v>
      </c>
      <c r="D17" s="213"/>
      <c r="E17" s="213"/>
      <c r="F17" s="214"/>
      <c r="G17" s="222">
        <v>961364</v>
      </c>
      <c r="H17" s="223">
        <v>0</v>
      </c>
      <c r="I17" s="221"/>
      <c r="J17" s="226"/>
      <c r="K17" s="226"/>
      <c r="L17" s="221">
        <f t="shared" si="0"/>
        <v>961364</v>
      </c>
      <c r="M17" s="221">
        <f t="shared" si="1"/>
        <v>0</v>
      </c>
      <c r="N17" s="221">
        <v>0</v>
      </c>
      <c r="O17" s="221">
        <v>0</v>
      </c>
    </row>
    <row r="18" spans="1:15" x14ac:dyDescent="0.25">
      <c r="B18" s="184" t="s">
        <v>211</v>
      </c>
      <c r="C18" s="212">
        <f>1250000+425791+400000</f>
        <v>2075791</v>
      </c>
      <c r="D18" s="213"/>
      <c r="E18" s="213"/>
      <c r="F18" s="214"/>
      <c r="G18" s="222">
        <v>2075791</v>
      </c>
      <c r="H18" s="223">
        <v>0</v>
      </c>
      <c r="I18" s="221"/>
      <c r="J18" s="226"/>
      <c r="K18" s="226"/>
      <c r="L18" s="221">
        <f t="shared" si="0"/>
        <v>2075791</v>
      </c>
      <c r="M18" s="221">
        <f t="shared" si="1"/>
        <v>0</v>
      </c>
      <c r="N18" s="221">
        <v>0</v>
      </c>
      <c r="O18" s="221">
        <v>0</v>
      </c>
    </row>
    <row r="19" spans="1:15" x14ac:dyDescent="0.25">
      <c r="B19" s="184" t="s">
        <v>212</v>
      </c>
      <c r="C19" s="212">
        <v>654937</v>
      </c>
      <c r="D19" s="213"/>
      <c r="E19" s="213"/>
      <c r="F19" s="214"/>
      <c r="G19" s="222">
        <v>654937</v>
      </c>
      <c r="H19" s="223">
        <v>0</v>
      </c>
      <c r="I19" s="221"/>
      <c r="J19" s="226"/>
      <c r="K19" s="226"/>
      <c r="L19" s="221">
        <f t="shared" si="0"/>
        <v>654937</v>
      </c>
      <c r="M19" s="221">
        <f t="shared" si="1"/>
        <v>0</v>
      </c>
      <c r="N19" s="221">
        <v>0</v>
      </c>
      <c r="O19" s="221">
        <v>0</v>
      </c>
    </row>
    <row r="20" spans="1:15" x14ac:dyDescent="0.25">
      <c r="B20" s="184" t="s">
        <v>213</v>
      </c>
      <c r="C20" s="212">
        <v>431976</v>
      </c>
      <c r="D20" s="213"/>
      <c r="E20" s="213"/>
      <c r="F20" s="214"/>
      <c r="G20" s="222">
        <v>431976</v>
      </c>
      <c r="H20" s="223">
        <v>0</v>
      </c>
      <c r="I20" s="221"/>
      <c r="J20" s="226"/>
      <c r="K20" s="226"/>
      <c r="L20" s="221">
        <f t="shared" si="0"/>
        <v>431976</v>
      </c>
      <c r="M20" s="221">
        <f t="shared" si="1"/>
        <v>0</v>
      </c>
      <c r="N20" s="221">
        <v>0</v>
      </c>
      <c r="O20" s="221">
        <v>0</v>
      </c>
    </row>
    <row r="21" spans="1:15" x14ac:dyDescent="0.25">
      <c r="B21" s="184" t="s">
        <v>214</v>
      </c>
      <c r="C21" s="212">
        <v>45627</v>
      </c>
      <c r="D21" s="213"/>
      <c r="E21" s="213"/>
      <c r="F21" s="214"/>
      <c r="G21" s="222">
        <v>45627</v>
      </c>
      <c r="H21" s="223">
        <v>0</v>
      </c>
      <c r="I21" s="221"/>
      <c r="J21" s="226"/>
      <c r="K21" s="226"/>
      <c r="L21" s="221">
        <f t="shared" si="0"/>
        <v>45627</v>
      </c>
      <c r="M21" s="221">
        <f t="shared" si="1"/>
        <v>0</v>
      </c>
      <c r="N21" s="221">
        <v>0</v>
      </c>
      <c r="O21" s="221">
        <v>0</v>
      </c>
    </row>
    <row r="22" spans="1:15" x14ac:dyDescent="0.25">
      <c r="B22" s="184" t="s">
        <v>215</v>
      </c>
      <c r="C22" s="212">
        <v>59858</v>
      </c>
      <c r="D22" s="213"/>
      <c r="E22" s="213"/>
      <c r="F22" s="214"/>
      <c r="G22" s="222">
        <v>59858</v>
      </c>
      <c r="H22" s="223">
        <v>0</v>
      </c>
      <c r="I22" s="221"/>
      <c r="J22" s="226"/>
      <c r="K22" s="226"/>
      <c r="L22" s="221">
        <f t="shared" si="0"/>
        <v>59858</v>
      </c>
      <c r="M22" s="221">
        <f t="shared" si="1"/>
        <v>0</v>
      </c>
      <c r="N22" s="221">
        <v>0</v>
      </c>
      <c r="O22" s="221">
        <v>0</v>
      </c>
    </row>
    <row r="23" spans="1:15" x14ac:dyDescent="0.25">
      <c r="B23" s="224" t="s">
        <v>216</v>
      </c>
      <c r="C23" s="212">
        <f>500000</f>
        <v>500000</v>
      </c>
      <c r="D23" s="213"/>
      <c r="E23" s="221"/>
      <c r="F23" s="214"/>
      <c r="G23" s="222">
        <v>500000</v>
      </c>
      <c r="H23" s="223">
        <v>0</v>
      </c>
      <c r="I23" s="221"/>
      <c r="J23" s="226"/>
      <c r="K23" s="226"/>
      <c r="L23" s="221">
        <f t="shared" si="0"/>
        <v>500000</v>
      </c>
      <c r="M23" s="221">
        <f t="shared" si="1"/>
        <v>0</v>
      </c>
      <c r="N23" s="221">
        <v>0</v>
      </c>
      <c r="O23" s="221">
        <v>0</v>
      </c>
    </row>
    <row r="24" spans="1:15" x14ac:dyDescent="0.25">
      <c r="C24" s="212"/>
      <c r="D24" s="213"/>
      <c r="E24" s="213"/>
      <c r="F24" s="214"/>
      <c r="G24" s="215"/>
      <c r="H24" s="216"/>
      <c r="I24" s="213"/>
      <c r="J24" s="217"/>
      <c r="K24" s="217"/>
      <c r="L24" s="213"/>
      <c r="M24" s="213"/>
      <c r="N24" s="213"/>
      <c r="O24" s="213"/>
    </row>
    <row r="25" spans="1:15" ht="13.8" thickBot="1" x14ac:dyDescent="0.3">
      <c r="B25" s="227" t="s">
        <v>217</v>
      </c>
      <c r="C25" s="228">
        <f t="shared" ref="C25:O25" si="2">SUM(C7:C24)</f>
        <v>30000000</v>
      </c>
      <c r="D25" s="228">
        <f t="shared" si="2"/>
        <v>0</v>
      </c>
      <c r="E25" s="228">
        <f t="shared" si="2"/>
        <v>0</v>
      </c>
      <c r="F25" s="228">
        <f t="shared" si="2"/>
        <v>0</v>
      </c>
      <c r="G25" s="228">
        <f t="shared" si="2"/>
        <v>30000000</v>
      </c>
      <c r="H25" s="228">
        <f t="shared" si="2"/>
        <v>2495241.8199999998</v>
      </c>
      <c r="I25" s="228">
        <f t="shared" si="2"/>
        <v>2253426.81</v>
      </c>
      <c r="J25" s="228">
        <f t="shared" si="2"/>
        <v>0</v>
      </c>
      <c r="K25" s="228">
        <f t="shared" si="2"/>
        <v>0</v>
      </c>
      <c r="L25" s="228">
        <f t="shared" si="2"/>
        <v>25251331.370000001</v>
      </c>
      <c r="M25" s="228">
        <f t="shared" si="2"/>
        <v>4748668.63</v>
      </c>
      <c r="N25" s="228">
        <f t="shared" si="2"/>
        <v>0</v>
      </c>
      <c r="O25" s="228">
        <f t="shared" si="2"/>
        <v>0</v>
      </c>
    </row>
    <row r="26" spans="1:15" ht="13.8" thickTop="1" x14ac:dyDescent="0.25">
      <c r="C26" s="212"/>
      <c r="D26" s="213"/>
      <c r="E26" s="213"/>
      <c r="F26" s="214"/>
      <c r="G26" s="215"/>
      <c r="H26" s="216"/>
      <c r="I26" s="213"/>
      <c r="J26" s="217"/>
      <c r="K26" s="217"/>
      <c r="L26" s="213"/>
      <c r="M26" s="213"/>
      <c r="N26" s="213"/>
      <c r="O26" s="213"/>
    </row>
    <row r="27" spans="1:15" x14ac:dyDescent="0.25">
      <c r="A27" s="219" t="s">
        <v>219</v>
      </c>
      <c r="B27" s="220"/>
      <c r="C27" s="212"/>
      <c r="D27" s="213"/>
      <c r="E27" s="213"/>
      <c r="F27" s="221"/>
      <c r="G27" s="222"/>
      <c r="H27" s="223"/>
      <c r="I27" s="222"/>
      <c r="J27" s="222"/>
      <c r="K27" s="222"/>
      <c r="L27" s="221"/>
      <c r="M27" s="221"/>
      <c r="N27" s="221"/>
      <c r="O27" s="221"/>
    </row>
    <row r="28" spans="1:15" x14ac:dyDescent="0.25">
      <c r="B28" s="184" t="s">
        <v>199</v>
      </c>
      <c r="C28" s="212">
        <v>2500000</v>
      </c>
      <c r="D28" s="213"/>
      <c r="E28" s="213"/>
      <c r="F28" s="225">
        <f>293257.32+54612.37</f>
        <v>347869.69</v>
      </c>
      <c r="G28" s="222">
        <v>2152130.31</v>
      </c>
      <c r="H28" s="223">
        <v>723771.39000000013</v>
      </c>
      <c r="I28" s="221"/>
      <c r="J28" s="226">
        <f>[2]UMCP!J471</f>
        <v>0</v>
      </c>
      <c r="K28" s="226">
        <f>[2]UMCP!K471</f>
        <v>0</v>
      </c>
      <c r="L28" s="221">
        <f t="shared" ref="L28:L45" si="3">G28-H28-I28-J28-K28</f>
        <v>1428358.92</v>
      </c>
      <c r="M28" s="221">
        <f t="shared" ref="M28:M45" si="4">H28-N28-O28</f>
        <v>555998.76000000013</v>
      </c>
      <c r="N28" s="221">
        <v>167772.63</v>
      </c>
      <c r="O28" s="221">
        <v>0</v>
      </c>
    </row>
    <row r="29" spans="1:15" x14ac:dyDescent="0.25">
      <c r="B29" s="184" t="s">
        <v>220</v>
      </c>
      <c r="C29" s="212">
        <v>2192000</v>
      </c>
      <c r="D29" s="213"/>
      <c r="E29" s="213"/>
      <c r="F29" s="214"/>
      <c r="G29" s="222">
        <v>2192000</v>
      </c>
      <c r="H29" s="223">
        <v>0</v>
      </c>
      <c r="I29" s="221"/>
      <c r="J29" s="226">
        <f>[2]UMES!J242</f>
        <v>0</v>
      </c>
      <c r="K29" s="226">
        <f>[2]UMES!K242</f>
        <v>0</v>
      </c>
      <c r="L29" s="221">
        <f t="shared" si="3"/>
        <v>2192000</v>
      </c>
      <c r="M29" s="221">
        <f t="shared" si="4"/>
        <v>0</v>
      </c>
      <c r="N29" s="221">
        <v>0</v>
      </c>
      <c r="O29" s="221">
        <v>0</v>
      </c>
    </row>
    <row r="30" spans="1:15" x14ac:dyDescent="0.25">
      <c r="B30" s="224" t="s">
        <v>201</v>
      </c>
      <c r="C30" s="212"/>
      <c r="D30" s="213"/>
      <c r="E30" s="213"/>
      <c r="F30" s="214"/>
      <c r="G30" s="222"/>
      <c r="H30" s="223"/>
      <c r="I30" s="221"/>
      <c r="J30" s="226"/>
      <c r="K30" s="226"/>
      <c r="L30" s="221">
        <f t="shared" si="3"/>
        <v>0</v>
      </c>
      <c r="M30" s="221"/>
      <c r="N30" s="221"/>
      <c r="O30" s="221"/>
    </row>
    <row r="31" spans="1:15" x14ac:dyDescent="0.25">
      <c r="B31" s="184" t="s">
        <v>202</v>
      </c>
      <c r="C31" s="212">
        <f>300000+2652191+1000000+700000+1300000+290000+150000+510000+975000+900000+700000</f>
        <v>9477191</v>
      </c>
      <c r="D31" s="213"/>
      <c r="E31" s="213"/>
      <c r="F31" s="100">
        <f>2200211.31+1345.5+9664</f>
        <v>2211220.81</v>
      </c>
      <c r="G31" s="222">
        <v>7265970.1899999995</v>
      </c>
      <c r="H31" s="223">
        <v>6568144.7800000012</v>
      </c>
      <c r="I31" s="221"/>
      <c r="J31" s="226">
        <f>[2]UMCP!J65</f>
        <v>0</v>
      </c>
      <c r="K31" s="226">
        <f>[2]UMCP!K65</f>
        <v>0</v>
      </c>
      <c r="L31" s="221">
        <f t="shared" si="3"/>
        <v>697825.40999999829</v>
      </c>
      <c r="M31" s="221">
        <f t="shared" si="4"/>
        <v>1557313.8900000006</v>
      </c>
      <c r="N31" s="221">
        <v>5010830.8900000006</v>
      </c>
      <c r="O31" s="221">
        <v>0</v>
      </c>
    </row>
    <row r="32" spans="1:15" x14ac:dyDescent="0.25">
      <c r="B32" s="184" t="s">
        <v>203</v>
      </c>
      <c r="C32" s="212">
        <f>990000+990000+990000+827264+1199136</f>
        <v>4996400</v>
      </c>
      <c r="D32" s="213"/>
      <c r="E32" s="213"/>
      <c r="F32" s="214"/>
      <c r="G32" s="222">
        <v>4996400</v>
      </c>
      <c r="H32" s="223">
        <v>1069121.96</v>
      </c>
      <c r="I32" s="221"/>
      <c r="J32" s="226">
        <f>[2]UMB!J88</f>
        <v>0</v>
      </c>
      <c r="K32" s="226">
        <f>[2]UMB!K88</f>
        <v>0</v>
      </c>
      <c r="L32" s="221">
        <f t="shared" si="3"/>
        <v>3927278.04</v>
      </c>
      <c r="M32" s="221">
        <f t="shared" si="4"/>
        <v>1069121.96</v>
      </c>
      <c r="N32" s="221">
        <v>0</v>
      </c>
      <c r="O32" s="221">
        <v>0</v>
      </c>
    </row>
    <row r="33" spans="2:15" x14ac:dyDescent="0.25">
      <c r="B33" s="184" t="s">
        <v>204</v>
      </c>
      <c r="C33" s="212">
        <v>1301342</v>
      </c>
      <c r="D33" s="213"/>
      <c r="E33" s="213"/>
      <c r="F33" s="100">
        <f>277763+130204</f>
        <v>407967</v>
      </c>
      <c r="G33" s="222">
        <v>893375</v>
      </c>
      <c r="H33" s="223">
        <v>752227</v>
      </c>
      <c r="I33" s="221"/>
      <c r="J33" s="226">
        <f>[2]UMES!J58</f>
        <v>0</v>
      </c>
      <c r="K33" s="226">
        <f>[2]UMES!K58</f>
        <v>0</v>
      </c>
      <c r="L33" s="221">
        <f t="shared" si="3"/>
        <v>141148</v>
      </c>
      <c r="M33" s="221">
        <f t="shared" si="4"/>
        <v>617547</v>
      </c>
      <c r="N33" s="221">
        <v>134680</v>
      </c>
      <c r="O33" s="221">
        <v>0</v>
      </c>
    </row>
    <row r="34" spans="2:15" x14ac:dyDescent="0.25">
      <c r="B34" s="184" t="s">
        <v>205</v>
      </c>
      <c r="C34" s="212">
        <v>2341242</v>
      </c>
      <c r="D34" s="213"/>
      <c r="E34" s="213"/>
      <c r="F34" s="214"/>
      <c r="G34" s="222">
        <v>2341242</v>
      </c>
      <c r="H34" s="223">
        <v>908.17</v>
      </c>
      <c r="I34" s="221"/>
      <c r="J34" s="226">
        <f>[2]UMBC!J27</f>
        <v>0</v>
      </c>
      <c r="K34" s="226">
        <f>[2]UMBC!K27</f>
        <v>0</v>
      </c>
      <c r="L34" s="221">
        <f t="shared" si="3"/>
        <v>2340333.83</v>
      </c>
      <c r="M34" s="221">
        <f t="shared" si="4"/>
        <v>908.17</v>
      </c>
      <c r="N34" s="221">
        <v>0</v>
      </c>
      <c r="O34" s="221">
        <v>0</v>
      </c>
    </row>
    <row r="35" spans="2:15" x14ac:dyDescent="0.25">
      <c r="B35" s="184" t="s">
        <v>206</v>
      </c>
      <c r="C35" s="212">
        <v>358037</v>
      </c>
      <c r="D35" s="213"/>
      <c r="E35" s="213"/>
      <c r="F35" s="214"/>
      <c r="G35" s="222">
        <v>358037</v>
      </c>
      <c r="H35" s="223">
        <v>0</v>
      </c>
      <c r="I35" s="221"/>
      <c r="J35" s="226">
        <f>[2]UMCES!J67</f>
        <v>0</v>
      </c>
      <c r="K35" s="226">
        <f>[2]UMCES!K67</f>
        <v>0</v>
      </c>
      <c r="L35" s="221">
        <f t="shared" si="3"/>
        <v>358037</v>
      </c>
      <c r="M35" s="221">
        <f t="shared" si="4"/>
        <v>0</v>
      </c>
      <c r="N35" s="221">
        <v>0</v>
      </c>
      <c r="O35" s="221">
        <v>0</v>
      </c>
    </row>
    <row r="36" spans="2:15" x14ac:dyDescent="0.25">
      <c r="B36" s="184" t="s">
        <v>207</v>
      </c>
      <c r="C36" s="212">
        <v>857383</v>
      </c>
      <c r="D36" s="213"/>
      <c r="E36" s="213"/>
      <c r="F36" s="214"/>
      <c r="G36" s="222">
        <v>857383</v>
      </c>
      <c r="H36" s="223">
        <v>476136.22</v>
      </c>
      <c r="I36" s="221"/>
      <c r="J36" s="226">
        <f>[2]BSU!J30</f>
        <v>0</v>
      </c>
      <c r="K36" s="226">
        <f>[2]BSU!K30</f>
        <v>0</v>
      </c>
      <c r="L36" s="221">
        <f t="shared" si="3"/>
        <v>381246.78</v>
      </c>
      <c r="M36" s="221">
        <f t="shared" si="4"/>
        <v>476136.22</v>
      </c>
      <c r="N36" s="221">
        <v>0</v>
      </c>
      <c r="O36" s="221">
        <v>0</v>
      </c>
    </row>
    <row r="37" spans="2:15" x14ac:dyDescent="0.25">
      <c r="B37" s="184" t="s">
        <v>208</v>
      </c>
      <c r="C37" s="212">
        <v>564649</v>
      </c>
      <c r="D37" s="213"/>
      <c r="E37" s="213"/>
      <c r="F37" s="214"/>
      <c r="G37" s="222">
        <v>564649</v>
      </c>
      <c r="H37" s="223">
        <v>200625.08000000002</v>
      </c>
      <c r="I37" s="221"/>
      <c r="J37" s="226">
        <f>[2]CSU!J74</f>
        <v>0</v>
      </c>
      <c r="K37" s="226">
        <f>[2]CSU!K74</f>
        <v>0</v>
      </c>
      <c r="L37" s="221">
        <f t="shared" si="3"/>
        <v>364023.92</v>
      </c>
      <c r="M37" s="221">
        <f t="shared" si="4"/>
        <v>39253.880000000005</v>
      </c>
      <c r="N37" s="221">
        <v>161371.20000000001</v>
      </c>
      <c r="O37" s="221">
        <v>0</v>
      </c>
    </row>
    <row r="38" spans="2:15" x14ac:dyDescent="0.25">
      <c r="B38" s="184" t="s">
        <v>209</v>
      </c>
      <c r="C38" s="212">
        <v>515190</v>
      </c>
      <c r="D38" s="213"/>
      <c r="E38" s="213"/>
      <c r="F38" s="100">
        <f>2480</f>
        <v>2480</v>
      </c>
      <c r="G38" s="222">
        <v>512710</v>
      </c>
      <c r="H38" s="223">
        <v>512710</v>
      </c>
      <c r="I38" s="221"/>
      <c r="J38" s="226">
        <f>[2]FSU!J40</f>
        <v>0</v>
      </c>
      <c r="K38" s="226">
        <f>[2]FSU!K40</f>
        <v>0</v>
      </c>
      <c r="L38" s="221">
        <f t="shared" si="3"/>
        <v>0</v>
      </c>
      <c r="M38" s="221">
        <f t="shared" si="4"/>
        <v>183780.01000000007</v>
      </c>
      <c r="N38" s="221">
        <v>328929.98999999993</v>
      </c>
      <c r="O38" s="221">
        <v>0</v>
      </c>
    </row>
    <row r="39" spans="2:15" x14ac:dyDescent="0.25">
      <c r="B39" s="184" t="s">
        <v>210</v>
      </c>
      <c r="C39" s="212">
        <v>943287</v>
      </c>
      <c r="D39" s="213"/>
      <c r="E39" s="213"/>
      <c r="F39" s="214"/>
      <c r="G39" s="222">
        <v>943287</v>
      </c>
      <c r="H39" s="223">
        <v>0</v>
      </c>
      <c r="I39" s="221"/>
      <c r="J39" s="226">
        <f>[2]SU!J25</f>
        <v>0</v>
      </c>
      <c r="K39" s="226">
        <f>[2]SU!K25</f>
        <v>0</v>
      </c>
      <c r="L39" s="221">
        <f t="shared" si="3"/>
        <v>943287</v>
      </c>
      <c r="M39" s="221">
        <f t="shared" si="4"/>
        <v>0</v>
      </c>
      <c r="N39" s="221">
        <v>0</v>
      </c>
      <c r="O39" s="221">
        <v>0</v>
      </c>
    </row>
    <row r="40" spans="2:15" x14ac:dyDescent="0.25">
      <c r="B40" s="184" t="s">
        <v>211</v>
      </c>
      <c r="C40" s="212">
        <v>2337131</v>
      </c>
      <c r="D40" s="213"/>
      <c r="E40" s="213"/>
      <c r="F40" s="214"/>
      <c r="G40" s="222">
        <v>2337131</v>
      </c>
      <c r="H40" s="223">
        <v>0</v>
      </c>
      <c r="I40" s="221"/>
      <c r="J40" s="226">
        <f>[2]TU!J47+[2]TU!J52+[2]TU!J57</f>
        <v>0</v>
      </c>
      <c r="K40" s="226">
        <f>[2]TU!K47+[2]TU!K52+[2]TU!K57</f>
        <v>0</v>
      </c>
      <c r="L40" s="221">
        <f t="shared" si="3"/>
        <v>2337131</v>
      </c>
      <c r="M40" s="221">
        <f t="shared" si="4"/>
        <v>0</v>
      </c>
      <c r="N40" s="221">
        <v>0</v>
      </c>
      <c r="O40" s="221">
        <v>0</v>
      </c>
    </row>
    <row r="41" spans="2:15" x14ac:dyDescent="0.25">
      <c r="B41" s="184" t="s">
        <v>212</v>
      </c>
      <c r="C41" s="212">
        <v>890113</v>
      </c>
      <c r="D41" s="213"/>
      <c r="E41" s="213"/>
      <c r="F41" s="214"/>
      <c r="G41" s="222">
        <v>890113</v>
      </c>
      <c r="H41" s="223">
        <v>79691.070000000007</v>
      </c>
      <c r="I41" s="221"/>
      <c r="J41" s="226">
        <f>[2]UB!J42</f>
        <v>0</v>
      </c>
      <c r="K41" s="226">
        <f>[2]UB!K42</f>
        <v>0</v>
      </c>
      <c r="L41" s="221">
        <f t="shared" si="3"/>
        <v>810421.92999999993</v>
      </c>
      <c r="M41" s="221">
        <f t="shared" si="4"/>
        <v>30212.500000000007</v>
      </c>
      <c r="N41" s="221">
        <v>49478.57</v>
      </c>
      <c r="O41" s="221">
        <v>0</v>
      </c>
    </row>
    <row r="42" spans="2:15" x14ac:dyDescent="0.25">
      <c r="B42" s="224" t="s">
        <v>216</v>
      </c>
      <c r="C42" s="212">
        <v>726035</v>
      </c>
      <c r="D42" s="213"/>
      <c r="E42" s="221">
        <f>-418037</f>
        <v>-418037</v>
      </c>
      <c r="F42" s="214"/>
      <c r="G42" s="222">
        <v>307998</v>
      </c>
      <c r="H42" s="223">
        <v>0</v>
      </c>
      <c r="I42" s="221"/>
      <c r="J42" s="226"/>
      <c r="K42" s="226"/>
      <c r="L42" s="221">
        <f t="shared" si="3"/>
        <v>307998</v>
      </c>
      <c r="M42" s="221">
        <f t="shared" si="4"/>
        <v>0</v>
      </c>
      <c r="N42" s="221">
        <v>0</v>
      </c>
      <c r="O42" s="221">
        <v>0</v>
      </c>
    </row>
    <row r="43" spans="2:15" x14ac:dyDescent="0.25">
      <c r="B43" s="184" t="s">
        <v>221</v>
      </c>
      <c r="C43" s="212"/>
      <c r="D43" s="213"/>
      <c r="E43" s="229">
        <v>335990</v>
      </c>
      <c r="F43" s="214"/>
      <c r="G43" s="222">
        <v>335990</v>
      </c>
      <c r="H43" s="223">
        <v>0</v>
      </c>
      <c r="I43" s="221"/>
      <c r="J43" s="226"/>
      <c r="K43" s="226"/>
      <c r="L43" s="221">
        <f t="shared" si="3"/>
        <v>335990</v>
      </c>
      <c r="M43" s="221">
        <f t="shared" si="4"/>
        <v>0</v>
      </c>
      <c r="N43" s="221">
        <v>0</v>
      </c>
      <c r="O43" s="221">
        <v>0</v>
      </c>
    </row>
    <row r="44" spans="2:15" x14ac:dyDescent="0.25">
      <c r="B44" s="184" t="s">
        <v>222</v>
      </c>
      <c r="C44" s="212"/>
      <c r="D44" s="213"/>
      <c r="E44" s="229">
        <v>35489</v>
      </c>
      <c r="F44" s="214"/>
      <c r="G44" s="222">
        <v>35489</v>
      </c>
      <c r="H44" s="223">
        <v>0</v>
      </c>
      <c r="I44" s="221"/>
      <c r="J44" s="226"/>
      <c r="K44" s="226"/>
      <c r="L44" s="221">
        <f t="shared" si="3"/>
        <v>35489</v>
      </c>
      <c r="M44" s="221">
        <f t="shared" si="4"/>
        <v>0</v>
      </c>
      <c r="N44" s="221">
        <v>0</v>
      </c>
      <c r="O44" s="221">
        <v>0</v>
      </c>
    </row>
    <row r="45" spans="2:15" x14ac:dyDescent="0.25">
      <c r="B45" s="184" t="s">
        <v>223</v>
      </c>
      <c r="C45" s="212"/>
      <c r="D45" s="213"/>
      <c r="E45" s="229">
        <v>46558</v>
      </c>
      <c r="F45" s="214"/>
      <c r="G45" s="222">
        <f>'[4]USM &amp; COI'!G15</f>
        <v>46558</v>
      </c>
      <c r="H45" s="223">
        <v>0</v>
      </c>
      <c r="I45" s="221"/>
      <c r="J45" s="226"/>
      <c r="K45" s="226"/>
      <c r="L45" s="221">
        <f t="shared" si="3"/>
        <v>46558</v>
      </c>
      <c r="M45" s="221">
        <f t="shared" si="4"/>
        <v>0</v>
      </c>
      <c r="N45" s="221">
        <v>0</v>
      </c>
      <c r="O45" s="221">
        <v>0</v>
      </c>
    </row>
    <row r="46" spans="2:15" x14ac:dyDescent="0.25">
      <c r="C46" s="212"/>
      <c r="D46" s="213"/>
      <c r="E46" s="213"/>
      <c r="F46" s="214"/>
      <c r="G46" s="215"/>
      <c r="H46" s="216"/>
      <c r="I46" s="213"/>
      <c r="J46" s="217"/>
      <c r="K46" s="217"/>
      <c r="L46" s="213"/>
      <c r="M46" s="213"/>
      <c r="N46" s="213"/>
      <c r="O46" s="213"/>
    </row>
    <row r="47" spans="2:15" ht="13.8" thickBot="1" x14ac:dyDescent="0.3">
      <c r="B47" s="227" t="s">
        <v>224</v>
      </c>
      <c r="C47" s="228">
        <f t="shared" ref="C47:O47" si="5">SUM(C28:C46)</f>
        <v>30000000</v>
      </c>
      <c r="D47" s="228">
        <f t="shared" si="5"/>
        <v>0</v>
      </c>
      <c r="E47" s="228">
        <f t="shared" si="5"/>
        <v>0</v>
      </c>
      <c r="F47" s="228">
        <f t="shared" si="5"/>
        <v>2969537.5</v>
      </c>
      <c r="G47" s="228">
        <f t="shared" si="5"/>
        <v>27030462.5</v>
      </c>
      <c r="H47" s="228">
        <f t="shared" si="5"/>
        <v>10383335.670000004</v>
      </c>
      <c r="I47" s="228">
        <f t="shared" si="5"/>
        <v>0</v>
      </c>
      <c r="J47" s="228">
        <f t="shared" si="5"/>
        <v>0</v>
      </c>
      <c r="K47" s="228">
        <f t="shared" si="5"/>
        <v>0</v>
      </c>
      <c r="L47" s="228">
        <f t="shared" si="5"/>
        <v>16647126.829999998</v>
      </c>
      <c r="M47" s="228">
        <f t="shared" si="5"/>
        <v>4530272.3900000006</v>
      </c>
      <c r="N47" s="228">
        <f t="shared" si="5"/>
        <v>5853063.2800000012</v>
      </c>
      <c r="O47" s="228">
        <f t="shared" si="5"/>
        <v>0</v>
      </c>
    </row>
    <row r="48" spans="2:15" ht="13.8" thickTop="1" x14ac:dyDescent="0.25">
      <c r="B48" s="224"/>
      <c r="C48" s="212"/>
      <c r="D48" s="212"/>
      <c r="E48" s="212"/>
      <c r="F48" s="212"/>
      <c r="G48" s="212"/>
      <c r="H48" s="212"/>
      <c r="I48" s="212"/>
      <c r="J48" s="212"/>
      <c r="K48" s="212"/>
      <c r="L48" s="212"/>
      <c r="M48" s="212"/>
      <c r="N48" s="212"/>
      <c r="O48" s="212"/>
    </row>
    <row r="49" spans="1:15" x14ac:dyDescent="0.25">
      <c r="A49" s="224" t="s">
        <v>225</v>
      </c>
      <c r="C49" s="212"/>
      <c r="D49" s="213"/>
      <c r="E49" s="213"/>
      <c r="F49" s="221"/>
      <c r="G49" s="222"/>
      <c r="H49" s="223"/>
      <c r="I49" s="222"/>
      <c r="J49" s="222"/>
      <c r="K49" s="222"/>
      <c r="L49" s="221"/>
      <c r="M49" s="221"/>
      <c r="N49" s="221"/>
      <c r="O49" s="221"/>
    </row>
    <row r="50" spans="1:15" x14ac:dyDescent="0.25">
      <c r="A50" s="224"/>
      <c r="B50" s="184" t="s">
        <v>199</v>
      </c>
      <c r="C50" s="212">
        <v>5000000</v>
      </c>
      <c r="D50" s="213"/>
      <c r="E50" s="213"/>
      <c r="F50" s="221">
        <f>622650.15+104.49</f>
        <v>622754.64</v>
      </c>
      <c r="G50" s="222">
        <v>4377245.3600000003</v>
      </c>
      <c r="H50" s="223">
        <v>2086432.8499999994</v>
      </c>
      <c r="I50" s="222"/>
      <c r="J50" s="222">
        <f>[4]UMCP!J247</f>
        <v>0</v>
      </c>
      <c r="K50" s="222">
        <f>[4]UMCP!K247</f>
        <v>0</v>
      </c>
      <c r="L50" s="221">
        <f t="shared" ref="L50:L64" si="6">G50-H50-I50-J50-K50</f>
        <v>2290812.5100000007</v>
      </c>
      <c r="M50" s="221">
        <f>H50-N50-O50</f>
        <v>1049756.9099999992</v>
      </c>
      <c r="N50" s="221">
        <v>1036675.9400000001</v>
      </c>
      <c r="O50" s="221">
        <v>0</v>
      </c>
    </row>
    <row r="51" spans="1:15" x14ac:dyDescent="0.25">
      <c r="A51" s="224"/>
      <c r="B51" s="224" t="s">
        <v>201</v>
      </c>
      <c r="C51" s="212"/>
      <c r="D51" s="213"/>
      <c r="E51" s="213"/>
      <c r="F51" s="221"/>
      <c r="G51" s="222"/>
      <c r="H51" s="223"/>
      <c r="I51" s="222"/>
      <c r="J51" s="222"/>
      <c r="K51" s="222"/>
      <c r="L51" s="221"/>
      <c r="M51" s="221"/>
      <c r="N51" s="221"/>
      <c r="O51" s="221"/>
    </row>
    <row r="52" spans="1:15" x14ac:dyDescent="0.25">
      <c r="A52" s="224"/>
      <c r="B52" s="184" t="s">
        <v>202</v>
      </c>
      <c r="C52" s="212">
        <v>7300000</v>
      </c>
      <c r="D52" s="213"/>
      <c r="E52" s="213"/>
      <c r="F52" s="221"/>
      <c r="G52" s="222">
        <v>7300000</v>
      </c>
      <c r="H52" s="223">
        <v>7300000</v>
      </c>
      <c r="I52" s="222"/>
      <c r="J52" s="222">
        <f>[4]UMCP!J118</f>
        <v>0</v>
      </c>
      <c r="K52" s="222">
        <f>[4]UMCP!K118</f>
        <v>0</v>
      </c>
      <c r="L52" s="221">
        <f t="shared" si="6"/>
        <v>0</v>
      </c>
      <c r="M52" s="221">
        <f t="shared" ref="M52:M63" si="7">H52-N52-O52</f>
        <v>0</v>
      </c>
      <c r="N52" s="221">
        <v>3644690.17</v>
      </c>
      <c r="O52" s="221">
        <v>3655309.83</v>
      </c>
    </row>
    <row r="53" spans="1:15" x14ac:dyDescent="0.25">
      <c r="A53" s="224"/>
      <c r="B53" s="184" t="s">
        <v>203</v>
      </c>
      <c r="C53" s="212">
        <v>3797264</v>
      </c>
      <c r="D53" s="213"/>
      <c r="E53" s="213"/>
      <c r="F53" s="100">
        <v>7630.07</v>
      </c>
      <c r="G53" s="222">
        <v>3789633.93</v>
      </c>
      <c r="H53" s="223">
        <v>1703406.93</v>
      </c>
      <c r="I53" s="222"/>
      <c r="J53" s="222">
        <f>[4]UMB!J60</f>
        <v>0</v>
      </c>
      <c r="K53" s="222">
        <f>[4]UMB!K60</f>
        <v>0</v>
      </c>
      <c r="L53" s="221">
        <f t="shared" si="6"/>
        <v>2086227.0000000002</v>
      </c>
      <c r="M53" s="221">
        <f t="shared" si="7"/>
        <v>730162.60000000009</v>
      </c>
      <c r="N53" s="221">
        <v>938643.05999999982</v>
      </c>
      <c r="O53" s="221">
        <v>34601.269999999997</v>
      </c>
    </row>
    <row r="54" spans="1:15" x14ac:dyDescent="0.25">
      <c r="A54" s="224"/>
      <c r="B54" s="184" t="s">
        <v>204</v>
      </c>
      <c r="C54" s="212">
        <v>989020</v>
      </c>
      <c r="D54" s="213"/>
      <c r="E54" s="213"/>
      <c r="F54" s="230">
        <v>856.96</v>
      </c>
      <c r="G54" s="222">
        <v>988163.04</v>
      </c>
      <c r="H54" s="223">
        <v>21886.49</v>
      </c>
      <c r="I54" s="222"/>
      <c r="J54" s="222">
        <f>[4]UMES!J78</f>
        <v>0</v>
      </c>
      <c r="K54" s="222">
        <f>[4]UMES!K78</f>
        <v>0</v>
      </c>
      <c r="L54" s="221">
        <f t="shared" si="6"/>
        <v>966276.55</v>
      </c>
      <c r="M54" s="221">
        <f t="shared" si="7"/>
        <v>0</v>
      </c>
      <c r="N54" s="221">
        <v>21886.49</v>
      </c>
      <c r="O54" s="221">
        <v>0</v>
      </c>
    </row>
    <row r="55" spans="1:15" x14ac:dyDescent="0.25">
      <c r="A55" s="224"/>
      <c r="B55" s="184" t="s">
        <v>205</v>
      </c>
      <c r="C55" s="212">
        <v>1779344</v>
      </c>
      <c r="D55" s="213"/>
      <c r="E55" s="213"/>
      <c r="F55" s="230">
        <f>15518.52+5022.6</f>
        <v>20541.120000000003</v>
      </c>
      <c r="G55" s="222">
        <v>1758802.88</v>
      </c>
      <c r="H55" s="223">
        <v>684583.58</v>
      </c>
      <c r="I55" s="222"/>
      <c r="J55" s="222">
        <f>[4]UMBC!J53</f>
        <v>0</v>
      </c>
      <c r="K55" s="222">
        <f>[4]UMBC!K53</f>
        <v>0</v>
      </c>
      <c r="L55" s="221">
        <f t="shared" si="6"/>
        <v>1074219.2999999998</v>
      </c>
      <c r="M55" s="221">
        <f t="shared" si="7"/>
        <v>417793.57999999996</v>
      </c>
      <c r="N55" s="221">
        <v>266790</v>
      </c>
      <c r="O55" s="221">
        <v>0</v>
      </c>
    </row>
    <row r="56" spans="1:15" x14ac:dyDescent="0.25">
      <c r="A56" s="224"/>
      <c r="B56" s="184" t="s">
        <v>206</v>
      </c>
      <c r="C56" s="212">
        <v>317000</v>
      </c>
      <c r="D56" s="213"/>
      <c r="E56" s="213"/>
      <c r="F56" s="230"/>
      <c r="G56" s="222">
        <v>317000</v>
      </c>
      <c r="H56" s="223">
        <v>216168.12</v>
      </c>
      <c r="I56" s="222"/>
      <c r="J56" s="222">
        <f>[4]UMCES!J20</f>
        <v>0</v>
      </c>
      <c r="K56" s="222">
        <f>[4]UMCES!K20</f>
        <v>0</v>
      </c>
      <c r="L56" s="221">
        <f t="shared" si="6"/>
        <v>100831.88</v>
      </c>
      <c r="M56" s="221">
        <f t="shared" si="7"/>
        <v>0</v>
      </c>
      <c r="N56" s="221">
        <v>216168.12</v>
      </c>
      <c r="O56" s="221">
        <v>0</v>
      </c>
    </row>
    <row r="57" spans="1:15" x14ac:dyDescent="0.25">
      <c r="B57" s="184" t="s">
        <v>207</v>
      </c>
      <c r="C57" s="212">
        <v>1508994</v>
      </c>
      <c r="D57" s="213"/>
      <c r="E57" s="213"/>
      <c r="F57" s="230"/>
      <c r="G57" s="231">
        <v>1508994</v>
      </c>
      <c r="H57" s="232">
        <v>1508994</v>
      </c>
      <c r="I57" s="229"/>
      <c r="J57" s="230">
        <f>[4]BSU!J40</f>
        <v>0</v>
      </c>
      <c r="K57" s="230">
        <f>[4]BSU!K40</f>
        <v>0</v>
      </c>
      <c r="L57" s="221">
        <f t="shared" si="6"/>
        <v>0</v>
      </c>
      <c r="M57" s="221">
        <f t="shared" si="7"/>
        <v>8514.6599999999162</v>
      </c>
      <c r="N57" s="221">
        <v>62500</v>
      </c>
      <c r="O57" s="221">
        <v>1437979.34</v>
      </c>
    </row>
    <row r="58" spans="1:15" x14ac:dyDescent="0.25">
      <c r="B58" s="184" t="s">
        <v>208</v>
      </c>
      <c r="C58" s="212">
        <v>429133</v>
      </c>
      <c r="D58" s="213"/>
      <c r="E58" s="213"/>
      <c r="F58" s="230"/>
      <c r="G58" s="231">
        <v>429133</v>
      </c>
      <c r="H58" s="232">
        <v>429133</v>
      </c>
      <c r="I58" s="229"/>
      <c r="J58" s="230">
        <f>[4]CSU!J34</f>
        <v>0</v>
      </c>
      <c r="K58" s="230">
        <f>[4]CSU!K34</f>
        <v>0</v>
      </c>
      <c r="L58" s="221">
        <f t="shared" si="6"/>
        <v>0</v>
      </c>
      <c r="M58" s="221">
        <f t="shared" si="7"/>
        <v>23206.119999999995</v>
      </c>
      <c r="N58" s="221">
        <v>405926.88</v>
      </c>
      <c r="O58" s="221">
        <v>0</v>
      </c>
    </row>
    <row r="59" spans="1:15" x14ac:dyDescent="0.25">
      <c r="B59" s="184" t="s">
        <v>209</v>
      </c>
      <c r="C59" s="212">
        <v>645000</v>
      </c>
      <c r="D59" s="213"/>
      <c r="E59" s="213"/>
      <c r="F59" s="230">
        <f>1700+19385</f>
        <v>21085</v>
      </c>
      <c r="G59" s="231">
        <v>623915</v>
      </c>
      <c r="H59" s="232">
        <v>623915.00000000012</v>
      </c>
      <c r="I59" s="229"/>
      <c r="J59" s="230">
        <f>[4]FSU!J74</f>
        <v>0</v>
      </c>
      <c r="K59" s="230">
        <f>[4]FSU!K74</f>
        <v>0</v>
      </c>
      <c r="L59" s="221">
        <f t="shared" si="6"/>
        <v>-1.1641532182693481E-10</v>
      </c>
      <c r="M59" s="221">
        <f t="shared" si="7"/>
        <v>20426.119999999952</v>
      </c>
      <c r="N59" s="221">
        <v>551667.05000000016</v>
      </c>
      <c r="O59" s="221">
        <v>51821.83</v>
      </c>
    </row>
    <row r="60" spans="1:15" x14ac:dyDescent="0.25">
      <c r="B60" s="184" t="s">
        <v>226</v>
      </c>
      <c r="C60" s="212">
        <v>1660185</v>
      </c>
      <c r="D60" s="213"/>
      <c r="E60" s="213"/>
      <c r="F60" s="230">
        <f>137991.19+5662</f>
        <v>143653.19</v>
      </c>
      <c r="G60" s="231">
        <v>1516531.81</v>
      </c>
      <c r="H60" s="232">
        <v>656104.77999999991</v>
      </c>
      <c r="I60" s="229"/>
      <c r="J60" s="230">
        <f>[4]SU!J39</f>
        <v>0</v>
      </c>
      <c r="K60" s="230">
        <f>[4]SU!K39</f>
        <v>0</v>
      </c>
      <c r="L60" s="221">
        <f t="shared" si="6"/>
        <v>860427.03000000014</v>
      </c>
      <c r="M60" s="221">
        <f t="shared" si="7"/>
        <v>300776.08999999997</v>
      </c>
      <c r="N60" s="221">
        <v>267411.58999999997</v>
      </c>
      <c r="O60" s="221">
        <v>87917.1</v>
      </c>
    </row>
    <row r="61" spans="1:15" x14ac:dyDescent="0.25">
      <c r="B61" s="184" t="s">
        <v>211</v>
      </c>
      <c r="C61" s="212">
        <v>1776220</v>
      </c>
      <c r="D61" s="213"/>
      <c r="E61" s="213"/>
      <c r="F61" s="230">
        <f>30764.52+7301.55</f>
        <v>38066.07</v>
      </c>
      <c r="G61" s="222">
        <v>1738153.9300000002</v>
      </c>
      <c r="H61" s="223">
        <v>1017548.6599999999</v>
      </c>
      <c r="I61" s="221"/>
      <c r="J61" s="226">
        <f>[4]TU!J43+[4]TU!J48+[4]TU!J76</f>
        <v>0</v>
      </c>
      <c r="K61" s="226">
        <f>[4]TU!K43+[4]TU!K48+[4]TU!K76</f>
        <v>0</v>
      </c>
      <c r="L61" s="221">
        <f t="shared" si="6"/>
        <v>720605.27000000025</v>
      </c>
      <c r="M61" s="221">
        <f t="shared" si="7"/>
        <v>736992.83</v>
      </c>
      <c r="N61" s="221">
        <v>61603.979999999952</v>
      </c>
      <c r="O61" s="221">
        <v>218951.85</v>
      </c>
    </row>
    <row r="62" spans="1:15" x14ac:dyDescent="0.25">
      <c r="B62" s="184" t="s">
        <v>212</v>
      </c>
      <c r="C62" s="212">
        <v>676486</v>
      </c>
      <c r="D62" s="213"/>
      <c r="E62" s="213"/>
      <c r="F62" s="233">
        <v>42465.599999999999</v>
      </c>
      <c r="G62" s="222">
        <v>634020.4</v>
      </c>
      <c r="H62" s="223">
        <v>10462.950000000001</v>
      </c>
      <c r="I62" s="221"/>
      <c r="J62" s="226">
        <f>[4]UB!J60</f>
        <v>0</v>
      </c>
      <c r="K62" s="226">
        <f>[4]UB!K60</f>
        <v>0</v>
      </c>
      <c r="L62" s="221">
        <f t="shared" si="6"/>
        <v>623557.45000000007</v>
      </c>
      <c r="M62" s="221">
        <f t="shared" si="7"/>
        <v>4801.4000000000005</v>
      </c>
      <c r="N62" s="221">
        <v>5661.55</v>
      </c>
      <c r="O62" s="221">
        <v>0</v>
      </c>
    </row>
    <row r="63" spans="1:15" x14ac:dyDescent="0.25">
      <c r="B63" s="224" t="s">
        <v>216</v>
      </c>
      <c r="C63" s="212">
        <v>4121354</v>
      </c>
      <c r="D63" s="213"/>
      <c r="E63" s="221">
        <f>63620.75-700000-600000</f>
        <v>-1236379.25</v>
      </c>
      <c r="F63" s="230"/>
      <c r="G63" s="222">
        <v>2884974.75</v>
      </c>
      <c r="H63" s="223">
        <v>0</v>
      </c>
      <c r="I63" s="221"/>
      <c r="J63" s="226"/>
      <c r="K63" s="226"/>
      <c r="L63" s="221">
        <f t="shared" si="6"/>
        <v>2884974.75</v>
      </c>
      <c r="M63" s="221">
        <f t="shared" si="7"/>
        <v>0</v>
      </c>
      <c r="N63" s="221">
        <v>0</v>
      </c>
      <c r="O63" s="221">
        <v>0</v>
      </c>
    </row>
    <row r="64" spans="1:15" x14ac:dyDescent="0.25">
      <c r="B64" s="184" t="s">
        <v>244</v>
      </c>
      <c r="C64" s="212"/>
      <c r="D64" s="213"/>
      <c r="E64" s="221">
        <v>700000</v>
      </c>
      <c r="F64" s="230"/>
      <c r="G64" s="222">
        <v>700000</v>
      </c>
      <c r="H64" s="223">
        <v>700000</v>
      </c>
      <c r="I64" s="221"/>
      <c r="J64" s="226">
        <f>[4]UMES!J47</f>
        <v>0</v>
      </c>
      <c r="K64" s="226">
        <f>[4]UMES!K47</f>
        <v>0</v>
      </c>
      <c r="L64" s="221">
        <f t="shared" si="6"/>
        <v>0</v>
      </c>
      <c r="M64" s="221">
        <f>H64-N64-O64</f>
        <v>700000</v>
      </c>
      <c r="N64" s="221">
        <v>0</v>
      </c>
      <c r="O64" s="221">
        <v>0</v>
      </c>
    </row>
    <row r="65" spans="1:15" x14ac:dyDescent="0.25">
      <c r="B65" s="234" t="s">
        <v>502</v>
      </c>
      <c r="C65" s="212"/>
      <c r="D65" s="213"/>
      <c r="E65" s="221">
        <v>600000</v>
      </c>
      <c r="F65" s="230"/>
      <c r="G65" s="222">
        <v>600000</v>
      </c>
      <c r="H65" s="223">
        <v>0</v>
      </c>
      <c r="I65" s="221"/>
      <c r="J65" s="226">
        <f>'[4]USM &amp; COI'!J19</f>
        <v>0</v>
      </c>
      <c r="K65" s="226">
        <f>'[4]USM &amp; COI'!K19</f>
        <v>0</v>
      </c>
      <c r="L65" s="221">
        <f>'[4]USM &amp; COI'!L19</f>
        <v>600000</v>
      </c>
      <c r="M65" s="221">
        <f>H65-N65-O65</f>
        <v>0</v>
      </c>
      <c r="N65" s="221">
        <v>0</v>
      </c>
      <c r="O65" s="221">
        <v>0</v>
      </c>
    </row>
    <row r="66" spans="1:15" x14ac:dyDescent="0.25">
      <c r="B66" s="224"/>
      <c r="C66" s="212"/>
      <c r="D66" s="213"/>
      <c r="E66" s="213"/>
      <c r="F66" s="214"/>
      <c r="G66" s="215"/>
      <c r="H66" s="216"/>
      <c r="I66" s="213"/>
      <c r="J66" s="217"/>
      <c r="K66" s="217"/>
      <c r="L66" s="213"/>
      <c r="M66" s="213"/>
      <c r="N66" s="213"/>
      <c r="O66" s="213"/>
    </row>
    <row r="67" spans="1:15" ht="13.8" thickBot="1" x14ac:dyDescent="0.3">
      <c r="B67" s="227" t="s">
        <v>227</v>
      </c>
      <c r="C67" s="228">
        <f t="shared" ref="C67:H67" si="8">SUM(C50:C66)</f>
        <v>30000000</v>
      </c>
      <c r="D67" s="228">
        <f t="shared" si="8"/>
        <v>0</v>
      </c>
      <c r="E67" s="228">
        <f t="shared" si="8"/>
        <v>63620.75</v>
      </c>
      <c r="F67" s="228">
        <f t="shared" si="8"/>
        <v>897052.64999999991</v>
      </c>
      <c r="G67" s="228">
        <f t="shared" si="8"/>
        <v>29166568.099999994</v>
      </c>
      <c r="H67" s="228">
        <f t="shared" si="8"/>
        <v>16958636.359999999</v>
      </c>
      <c r="I67" s="228">
        <f>SUM(I50:I63)</f>
        <v>0</v>
      </c>
      <c r="J67" s="228">
        <f t="shared" ref="J67:O67" si="9">SUM(J50:J66)</f>
        <v>0</v>
      </c>
      <c r="K67" s="228">
        <f t="shared" si="9"/>
        <v>0</v>
      </c>
      <c r="L67" s="228">
        <f t="shared" si="9"/>
        <v>12207931.74</v>
      </c>
      <c r="M67" s="228">
        <f t="shared" si="9"/>
        <v>3992430.3099999991</v>
      </c>
      <c r="N67" s="228">
        <f t="shared" si="9"/>
        <v>7479624.8299999991</v>
      </c>
      <c r="O67" s="228">
        <f t="shared" si="9"/>
        <v>5486581.2199999997</v>
      </c>
    </row>
    <row r="68" spans="1:15" ht="13.8" thickTop="1" x14ac:dyDescent="0.25">
      <c r="C68" s="212"/>
      <c r="D68" s="213"/>
      <c r="E68" s="213"/>
      <c r="F68" s="214"/>
      <c r="G68" s="215"/>
      <c r="H68" s="216"/>
      <c r="I68" s="213"/>
      <c r="J68" s="217"/>
      <c r="K68" s="217"/>
      <c r="L68" s="213"/>
      <c r="M68" s="213"/>
      <c r="N68" s="213"/>
      <c r="O68" s="213"/>
    </row>
    <row r="69" spans="1:15" x14ac:dyDescent="0.25">
      <c r="A69" s="224" t="s">
        <v>228</v>
      </c>
      <c r="C69" s="212"/>
      <c r="D69" s="213"/>
      <c r="E69" s="213"/>
      <c r="F69" s="214"/>
      <c r="G69" s="215"/>
      <c r="H69" s="216"/>
      <c r="I69" s="213"/>
      <c r="J69" s="217"/>
      <c r="K69" s="217"/>
      <c r="L69" s="213"/>
      <c r="M69" s="213"/>
      <c r="N69" s="213"/>
      <c r="O69" s="213"/>
    </row>
    <row r="70" spans="1:15" x14ac:dyDescent="0.25">
      <c r="A70" s="224"/>
      <c r="B70" s="184" t="s">
        <v>229</v>
      </c>
      <c r="C70" s="212">
        <v>7760000</v>
      </c>
      <c r="D70" s="213"/>
      <c r="E70" s="213"/>
      <c r="F70" s="226">
        <f>7760000</f>
        <v>7760000</v>
      </c>
      <c r="G70" s="222">
        <v>0</v>
      </c>
      <c r="H70" s="223">
        <v>0</v>
      </c>
      <c r="I70" s="221"/>
      <c r="J70" s="226">
        <f>[4]UMCP!J293</f>
        <v>0</v>
      </c>
      <c r="K70" s="226">
        <f>[4]UMCP!K293</f>
        <v>0</v>
      </c>
      <c r="L70" s="221">
        <f>G70-H70-I70-J70-K70</f>
        <v>0</v>
      </c>
      <c r="M70" s="221">
        <f>H70-N70-O70</f>
        <v>0</v>
      </c>
      <c r="N70" s="221">
        <v>0</v>
      </c>
      <c r="O70" s="221">
        <v>0</v>
      </c>
    </row>
    <row r="71" spans="1:15" x14ac:dyDescent="0.25">
      <c r="A71" s="224"/>
      <c r="B71" s="184" t="s">
        <v>230</v>
      </c>
      <c r="C71" s="212">
        <v>23550000</v>
      </c>
      <c r="D71" s="213"/>
      <c r="E71" s="213"/>
      <c r="F71" s="226">
        <v>23550000</v>
      </c>
      <c r="G71" s="222">
        <v>0</v>
      </c>
      <c r="H71" s="223">
        <v>0</v>
      </c>
      <c r="I71" s="221"/>
      <c r="J71" s="226">
        <f>[4]UMCP!J298</f>
        <v>0</v>
      </c>
      <c r="K71" s="226">
        <f>[4]UMCP!K298</f>
        <v>0</v>
      </c>
      <c r="L71" s="221">
        <f>G71-H71-I71-J71-K71</f>
        <v>0</v>
      </c>
      <c r="M71" s="221">
        <f>H71-N71-O71</f>
        <v>0</v>
      </c>
      <c r="N71" s="221">
        <v>0</v>
      </c>
      <c r="O71" s="221">
        <v>0</v>
      </c>
    </row>
    <row r="72" spans="1:15" x14ac:dyDescent="0.25">
      <c r="A72" s="224"/>
      <c r="B72" s="184" t="s">
        <v>231</v>
      </c>
      <c r="C72" s="212">
        <v>3360000</v>
      </c>
      <c r="D72" s="221">
        <v>-377822.1</v>
      </c>
      <c r="E72" s="213"/>
      <c r="F72" s="100">
        <v>2982177.9</v>
      </c>
      <c r="G72" s="222">
        <v>0</v>
      </c>
      <c r="H72" s="223">
        <v>0</v>
      </c>
      <c r="I72" s="221"/>
      <c r="J72" s="226">
        <f>[4]UMCP!J306</f>
        <v>0</v>
      </c>
      <c r="K72" s="226">
        <f>[4]UMCP!K306</f>
        <v>0</v>
      </c>
      <c r="L72" s="221">
        <f>G72-H72-I72-J72-K72</f>
        <v>0</v>
      </c>
      <c r="M72" s="221">
        <f>H72-N72-O72</f>
        <v>0</v>
      </c>
      <c r="N72" s="221">
        <v>0</v>
      </c>
      <c r="O72" s="221">
        <v>0</v>
      </c>
    </row>
    <row r="73" spans="1:15" x14ac:dyDescent="0.25">
      <c r="B73" s="184" t="s">
        <v>203</v>
      </c>
      <c r="C73" s="212">
        <v>10268103</v>
      </c>
      <c r="D73" s="221">
        <v>-2315004.67</v>
      </c>
      <c r="E73" s="213"/>
      <c r="F73" s="100">
        <f>3074614.24+2436804.38+487.26</f>
        <v>5511905.8799999999</v>
      </c>
      <c r="G73" s="222">
        <v>2441192.4500000002</v>
      </c>
      <c r="H73" s="223">
        <v>2441192.4499999997</v>
      </c>
      <c r="I73" s="221"/>
      <c r="J73" s="226">
        <f>[4]UMB!J117</f>
        <v>0</v>
      </c>
      <c r="K73" s="226">
        <f>[4]UMB!K117</f>
        <v>0</v>
      </c>
      <c r="L73" s="221">
        <f>G73-H73-I73-J73-K73</f>
        <v>4.6566128730773926E-10</v>
      </c>
      <c r="M73" s="221">
        <f>H73-N73-O73</f>
        <v>314778.49999999953</v>
      </c>
      <c r="N73" s="221">
        <v>561372.7200000002</v>
      </c>
      <c r="O73" s="221">
        <v>1565041.23</v>
      </c>
    </row>
    <row r="74" spans="1:15" x14ac:dyDescent="0.25">
      <c r="B74" s="184" t="s">
        <v>232</v>
      </c>
      <c r="C74" s="212">
        <v>3230000</v>
      </c>
      <c r="D74" s="221">
        <f>-1000000-2230000</f>
        <v>-3230000</v>
      </c>
      <c r="E74" s="213"/>
      <c r="F74" s="187"/>
      <c r="G74" s="222">
        <v>0</v>
      </c>
      <c r="H74" s="223">
        <v>0</v>
      </c>
      <c r="I74" s="221"/>
      <c r="J74" s="226">
        <f>'[4]USM &amp; COI'!J104</f>
        <v>0</v>
      </c>
      <c r="K74" s="226">
        <f>'[4]USM &amp; COI'!K104</f>
        <v>0</v>
      </c>
      <c r="L74" s="221">
        <f>G74-H74-I74-J74-K74</f>
        <v>0</v>
      </c>
      <c r="M74" s="221">
        <f>H74-N74-O74</f>
        <v>0</v>
      </c>
      <c r="N74" s="221">
        <v>0</v>
      </c>
      <c r="O74" s="221">
        <v>0</v>
      </c>
    </row>
    <row r="75" spans="1:15" x14ac:dyDescent="0.25">
      <c r="C75" s="212"/>
      <c r="D75" s="213"/>
      <c r="E75" s="213"/>
      <c r="F75" s="214"/>
      <c r="G75" s="215"/>
      <c r="H75" s="216"/>
      <c r="I75" s="213"/>
      <c r="J75" s="217"/>
      <c r="K75" s="217"/>
      <c r="L75" s="213"/>
      <c r="M75" s="213"/>
      <c r="N75" s="213"/>
      <c r="O75" s="213"/>
    </row>
    <row r="76" spans="1:15" ht="13.8" thickBot="1" x14ac:dyDescent="0.3">
      <c r="B76" s="227" t="s">
        <v>233</v>
      </c>
      <c r="C76" s="228">
        <f>SUM(C70:C75)</f>
        <v>48168103</v>
      </c>
      <c r="D76" s="228">
        <f t="shared" ref="D76:O76" si="10">SUM(D70:D75)</f>
        <v>-5922826.7699999996</v>
      </c>
      <c r="E76" s="228">
        <f t="shared" si="10"/>
        <v>0</v>
      </c>
      <c r="F76" s="228">
        <f t="shared" si="10"/>
        <v>39804083.780000001</v>
      </c>
      <c r="G76" s="228">
        <f t="shared" si="10"/>
        <v>2441192.4500000002</v>
      </c>
      <c r="H76" s="228">
        <f t="shared" si="10"/>
        <v>2441192.4499999997</v>
      </c>
      <c r="I76" s="228">
        <f t="shared" si="10"/>
        <v>0</v>
      </c>
      <c r="J76" s="228">
        <f t="shared" si="10"/>
        <v>0</v>
      </c>
      <c r="K76" s="228">
        <f t="shared" si="10"/>
        <v>0</v>
      </c>
      <c r="L76" s="228">
        <f t="shared" si="10"/>
        <v>4.6566128730773926E-10</v>
      </c>
      <c r="M76" s="228">
        <f t="shared" si="10"/>
        <v>314778.49999999953</v>
      </c>
      <c r="N76" s="228">
        <f t="shared" si="10"/>
        <v>561372.7200000002</v>
      </c>
      <c r="O76" s="228">
        <f t="shared" si="10"/>
        <v>1565041.23</v>
      </c>
    </row>
    <row r="77" spans="1:15" ht="13.8" thickTop="1" x14ac:dyDescent="0.25">
      <c r="C77" s="212"/>
      <c r="D77" s="213"/>
      <c r="E77" s="213"/>
      <c r="F77" s="214"/>
      <c r="G77" s="215"/>
      <c r="H77" s="216"/>
      <c r="I77" s="213"/>
      <c r="J77" s="217"/>
      <c r="K77" s="217"/>
      <c r="L77" s="213"/>
      <c r="M77" s="213"/>
      <c r="N77" s="213"/>
      <c r="O77" s="213"/>
    </row>
    <row r="78" spans="1:15" x14ac:dyDescent="0.25">
      <c r="A78" s="224" t="s">
        <v>234</v>
      </c>
      <c r="C78" s="212"/>
      <c r="D78" s="213"/>
      <c r="E78" s="213"/>
      <c r="F78" s="187"/>
      <c r="G78" s="222"/>
      <c r="H78" s="223"/>
      <c r="I78" s="222"/>
      <c r="J78" s="222"/>
      <c r="K78" s="222"/>
      <c r="L78" s="221"/>
      <c r="M78" s="221"/>
      <c r="N78" s="221"/>
      <c r="O78" s="221"/>
    </row>
    <row r="79" spans="1:15" x14ac:dyDescent="0.25">
      <c r="B79" s="184" t="s">
        <v>235</v>
      </c>
      <c r="C79" s="212">
        <v>5000000</v>
      </c>
      <c r="D79" s="213"/>
      <c r="E79" s="213"/>
      <c r="F79" s="226">
        <f>187966.72+1357440.43</f>
        <v>1545407.15</v>
      </c>
      <c r="G79" s="222">
        <v>3454592.8500000006</v>
      </c>
      <c r="H79" s="223">
        <v>222521.52000000002</v>
      </c>
      <c r="I79" s="213"/>
      <c r="J79" s="217"/>
      <c r="K79" s="226">
        <f>[4]UMCP!K274</f>
        <v>0</v>
      </c>
      <c r="L79" s="221">
        <f>G79-H79-I79-J79-K79</f>
        <v>3232071.3300000005</v>
      </c>
      <c r="M79" s="221">
        <f t="shared" ref="M79:M93" si="11">H79-N79-O79</f>
        <v>215871.52000000002</v>
      </c>
      <c r="N79" s="221">
        <v>6650</v>
      </c>
      <c r="O79" s="221">
        <v>0</v>
      </c>
    </row>
    <row r="80" spans="1:15" x14ac:dyDescent="0.25">
      <c r="B80" s="184" t="s">
        <v>236</v>
      </c>
      <c r="C80" s="212">
        <v>10000000</v>
      </c>
      <c r="D80" s="213"/>
      <c r="E80" s="213"/>
      <c r="F80" s="226">
        <f>4026.61+2117361.09+420341.95</f>
        <v>2541729.65</v>
      </c>
      <c r="G80" s="222">
        <v>7458270.3500000006</v>
      </c>
      <c r="H80" s="223">
        <v>1753596.6299999994</v>
      </c>
      <c r="I80" s="213"/>
      <c r="J80" s="217"/>
      <c r="K80" s="217"/>
      <c r="L80" s="221">
        <f t="shared" ref="L80:L93" si="12">G80-H80-I80-J80-K80</f>
        <v>5704673.7200000007</v>
      </c>
      <c r="M80" s="221">
        <f t="shared" si="11"/>
        <v>425617.23999999953</v>
      </c>
      <c r="N80" s="221">
        <v>1327979.3899999999</v>
      </c>
      <c r="O80" s="221">
        <v>0</v>
      </c>
    </row>
    <row r="81" spans="2:15" x14ac:dyDescent="0.25">
      <c r="B81" s="184" t="s">
        <v>237</v>
      </c>
      <c r="C81" s="212">
        <v>5000000</v>
      </c>
      <c r="D81" s="213"/>
      <c r="E81" s="213"/>
      <c r="F81" s="226">
        <f>60956.13+1036219.92+6874.52</f>
        <v>1104050.57</v>
      </c>
      <c r="G81" s="222">
        <v>3895949.43</v>
      </c>
      <c r="H81" s="223">
        <v>478072</v>
      </c>
      <c r="I81" s="213"/>
      <c r="J81" s="217"/>
      <c r="K81" s="217"/>
      <c r="L81" s="221">
        <f t="shared" si="12"/>
        <v>3417877.43</v>
      </c>
      <c r="M81" s="221">
        <f t="shared" si="11"/>
        <v>359203.77</v>
      </c>
      <c r="N81" s="221">
        <v>118868.23</v>
      </c>
      <c r="O81" s="221">
        <v>0</v>
      </c>
    </row>
    <row r="82" spans="2:15" x14ac:dyDescent="0.25">
      <c r="B82" s="224" t="s">
        <v>201</v>
      </c>
      <c r="C82" s="212"/>
      <c r="D82" s="213"/>
      <c r="E82" s="213"/>
      <c r="F82" s="214"/>
      <c r="G82" s="222"/>
      <c r="H82" s="216"/>
      <c r="I82" s="213"/>
      <c r="J82" s="217"/>
      <c r="K82" s="217"/>
      <c r="L82" s="221"/>
      <c r="M82" s="221">
        <f t="shared" si="11"/>
        <v>0</v>
      </c>
      <c r="N82" s="221"/>
      <c r="O82" s="221"/>
    </row>
    <row r="83" spans="2:15" x14ac:dyDescent="0.25">
      <c r="B83" s="184" t="s">
        <v>202</v>
      </c>
      <c r="C83" s="212">
        <v>4744551</v>
      </c>
      <c r="D83" s="213"/>
      <c r="E83" s="213"/>
      <c r="F83" s="226">
        <f>723026.82+4021524.18</f>
        <v>4744551</v>
      </c>
      <c r="G83" s="222">
        <v>0</v>
      </c>
      <c r="H83" s="223">
        <v>0</v>
      </c>
      <c r="I83" s="213"/>
      <c r="J83" s="217"/>
      <c r="K83" s="226">
        <f>[4]UMCP!K136</f>
        <v>0</v>
      </c>
      <c r="L83" s="221">
        <f t="shared" si="12"/>
        <v>0</v>
      </c>
      <c r="M83" s="221">
        <f t="shared" si="11"/>
        <v>0</v>
      </c>
      <c r="N83" s="221">
        <v>0</v>
      </c>
      <c r="O83" s="221">
        <v>0</v>
      </c>
    </row>
    <row r="84" spans="2:15" x14ac:dyDescent="0.25">
      <c r="B84" s="184" t="s">
        <v>203</v>
      </c>
      <c r="C84" s="212">
        <v>1926995</v>
      </c>
      <c r="D84" s="213"/>
      <c r="E84" s="213"/>
      <c r="F84" s="226">
        <f>500000+26189+40850.54</f>
        <v>567039.54</v>
      </c>
      <c r="G84" s="222">
        <v>1359955.46</v>
      </c>
      <c r="H84" s="223">
        <v>1184648.29</v>
      </c>
      <c r="I84" s="213"/>
      <c r="J84" s="217"/>
      <c r="K84" s="217"/>
      <c r="L84" s="221">
        <f>G84-H84-I84-J84-K84</f>
        <v>175307.16999999993</v>
      </c>
      <c r="M84" s="221">
        <f t="shared" si="11"/>
        <v>654322.92999999993</v>
      </c>
      <c r="N84" s="221">
        <v>185189.8600000001</v>
      </c>
      <c r="O84" s="221">
        <v>345135.5</v>
      </c>
    </row>
    <row r="85" spans="2:15" x14ac:dyDescent="0.25">
      <c r="B85" s="184" t="s">
        <v>204</v>
      </c>
      <c r="C85" s="212">
        <v>563795</v>
      </c>
      <c r="D85" s="213"/>
      <c r="E85" s="213"/>
      <c r="F85" s="226">
        <v>0</v>
      </c>
      <c r="G85" s="222">
        <v>563795</v>
      </c>
      <c r="H85" s="223">
        <v>424374.56</v>
      </c>
      <c r="I85" s="213"/>
      <c r="J85" s="217"/>
      <c r="K85" s="226">
        <f>[4]UMES!K88</f>
        <v>0</v>
      </c>
      <c r="L85" s="221">
        <f t="shared" si="12"/>
        <v>139420.44</v>
      </c>
      <c r="M85" s="221">
        <f t="shared" si="11"/>
        <v>0</v>
      </c>
      <c r="N85" s="221">
        <v>4385.5599999999977</v>
      </c>
      <c r="O85" s="221">
        <v>419989</v>
      </c>
    </row>
    <row r="86" spans="2:15" x14ac:dyDescent="0.25">
      <c r="B86" s="184" t="s">
        <v>205</v>
      </c>
      <c r="C86" s="212">
        <v>1081882</v>
      </c>
      <c r="D86" s="213"/>
      <c r="E86" s="213"/>
      <c r="F86" s="226"/>
      <c r="G86" s="222">
        <v>1081882</v>
      </c>
      <c r="H86" s="223">
        <v>568853.37</v>
      </c>
      <c r="I86" s="213"/>
      <c r="J86" s="217"/>
      <c r="K86" s="217"/>
      <c r="L86" s="221">
        <f t="shared" si="12"/>
        <v>513028.63</v>
      </c>
      <c r="M86" s="221">
        <f t="shared" si="11"/>
        <v>568853.37</v>
      </c>
      <c r="N86" s="221">
        <v>0</v>
      </c>
      <c r="O86" s="221">
        <v>0</v>
      </c>
    </row>
    <row r="87" spans="2:15" x14ac:dyDescent="0.25">
      <c r="B87" s="184" t="s">
        <v>206</v>
      </c>
      <c r="C87" s="212">
        <v>206031</v>
      </c>
      <c r="D87" s="213"/>
      <c r="E87" s="213"/>
      <c r="F87" s="226"/>
      <c r="G87" s="222">
        <v>206031</v>
      </c>
      <c r="H87" s="223">
        <v>0</v>
      </c>
      <c r="I87" s="213"/>
      <c r="J87" s="217"/>
      <c r="K87" s="217"/>
      <c r="L87" s="221">
        <f t="shared" si="12"/>
        <v>206031</v>
      </c>
      <c r="M87" s="221">
        <f t="shared" si="11"/>
        <v>0</v>
      </c>
      <c r="N87" s="221">
        <v>-141453.12</v>
      </c>
      <c r="O87" s="221">
        <v>141453.12</v>
      </c>
    </row>
    <row r="88" spans="2:15" x14ac:dyDescent="0.25">
      <c r="B88" s="184" t="s">
        <v>207</v>
      </c>
      <c r="C88" s="212">
        <v>490197</v>
      </c>
      <c r="D88" s="213"/>
      <c r="E88" s="213"/>
      <c r="F88" s="226">
        <f>23144.51+447527.34</f>
        <v>470671.85000000003</v>
      </c>
      <c r="G88" s="222">
        <v>19525.149999999965</v>
      </c>
      <c r="H88" s="223">
        <v>19525.150000000001</v>
      </c>
      <c r="I88" s="213"/>
      <c r="J88" s="217"/>
      <c r="K88" s="226">
        <f>[4]BSU!K55</f>
        <v>0</v>
      </c>
      <c r="L88" s="221">
        <f t="shared" si="12"/>
        <v>-3.637978807091713E-11</v>
      </c>
      <c r="M88" s="221">
        <f t="shared" si="11"/>
        <v>1274.0999999999979</v>
      </c>
      <c r="N88" s="221">
        <v>17041.660000000003</v>
      </c>
      <c r="O88" s="221">
        <v>1209.3900000000001</v>
      </c>
    </row>
    <row r="89" spans="2:15" x14ac:dyDescent="0.25">
      <c r="B89" s="184" t="s">
        <v>208</v>
      </c>
      <c r="C89" s="212">
        <v>457081</v>
      </c>
      <c r="D89" s="213"/>
      <c r="E89" s="213"/>
      <c r="F89" s="226">
        <f>198994.71</f>
        <v>198994.71</v>
      </c>
      <c r="G89" s="222">
        <v>258086.28999999998</v>
      </c>
      <c r="H89" s="223">
        <v>258086.28999999998</v>
      </c>
      <c r="I89" s="213"/>
      <c r="J89" s="217"/>
      <c r="K89" s="226">
        <f>[4]CSU!K49</f>
        <v>0</v>
      </c>
      <c r="L89" s="221">
        <f t="shared" si="12"/>
        <v>0</v>
      </c>
      <c r="M89" s="221">
        <f t="shared" si="11"/>
        <v>0</v>
      </c>
      <c r="N89" s="221">
        <v>123479.23999999999</v>
      </c>
      <c r="O89" s="221">
        <v>134607.04999999999</v>
      </c>
    </row>
    <row r="90" spans="2:15" x14ac:dyDescent="0.25">
      <c r="B90" s="184" t="s">
        <v>209</v>
      </c>
      <c r="C90" s="212">
        <v>419210</v>
      </c>
      <c r="D90" s="213"/>
      <c r="E90" s="213"/>
      <c r="F90" s="226">
        <f>41693.17+94557.56</f>
        <v>136250.72999999998</v>
      </c>
      <c r="G90" s="222">
        <v>282959.27</v>
      </c>
      <c r="H90" s="223">
        <v>282959.26999999996</v>
      </c>
      <c r="I90" s="213"/>
      <c r="J90" s="217"/>
      <c r="K90" s="226">
        <f>[4]FSU!K92</f>
        <v>0</v>
      </c>
      <c r="L90" s="221">
        <f t="shared" si="12"/>
        <v>5.8207660913467407E-11</v>
      </c>
      <c r="M90" s="221">
        <f t="shared" si="11"/>
        <v>0</v>
      </c>
      <c r="N90" s="221">
        <v>39094.699999999953</v>
      </c>
      <c r="O90" s="221">
        <v>243864.57</v>
      </c>
    </row>
    <row r="91" spans="2:15" x14ac:dyDescent="0.25">
      <c r="B91" s="184" t="s">
        <v>226</v>
      </c>
      <c r="C91" s="212">
        <v>612726</v>
      </c>
      <c r="D91" s="213"/>
      <c r="E91" s="213"/>
      <c r="F91" s="226">
        <f>238902.37</f>
        <v>238902.37</v>
      </c>
      <c r="G91" s="222">
        <v>373823.63</v>
      </c>
      <c r="H91" s="223">
        <v>338653.17000000004</v>
      </c>
      <c r="I91" s="213"/>
      <c r="J91" s="217"/>
      <c r="K91" s="226">
        <f>[4]SU!K54</f>
        <v>0</v>
      </c>
      <c r="L91" s="221">
        <f t="shared" si="12"/>
        <v>35170.459999999963</v>
      </c>
      <c r="M91" s="221">
        <f t="shared" si="11"/>
        <v>0</v>
      </c>
      <c r="N91" s="221">
        <v>248100.00000000006</v>
      </c>
      <c r="O91" s="221">
        <v>90553.17</v>
      </c>
    </row>
    <row r="92" spans="2:15" x14ac:dyDescent="0.25">
      <c r="B92" s="184" t="s">
        <v>211</v>
      </c>
      <c r="C92" s="212">
        <v>1044456</v>
      </c>
      <c r="D92" s="213"/>
      <c r="E92" s="213"/>
      <c r="F92" s="214"/>
      <c r="G92" s="222">
        <v>1044456</v>
      </c>
      <c r="H92" s="223">
        <v>504670.47</v>
      </c>
      <c r="I92" s="213"/>
      <c r="J92" s="217"/>
      <c r="K92" s="217"/>
      <c r="L92" s="221">
        <f t="shared" si="12"/>
        <v>539785.53</v>
      </c>
      <c r="M92" s="221">
        <f t="shared" si="11"/>
        <v>487932.87</v>
      </c>
      <c r="N92" s="221">
        <v>16737.599999999999</v>
      </c>
      <c r="O92" s="221">
        <v>0</v>
      </c>
    </row>
    <row r="93" spans="2:15" x14ac:dyDescent="0.25">
      <c r="B93" s="184" t="s">
        <v>212</v>
      </c>
      <c r="C93" s="212">
        <v>453076</v>
      </c>
      <c r="D93" s="213"/>
      <c r="E93" s="213"/>
      <c r="F93" s="214"/>
      <c r="G93" s="222">
        <v>453076</v>
      </c>
      <c r="H93" s="223">
        <v>77122.069999999992</v>
      </c>
      <c r="I93" s="213"/>
      <c r="J93" s="217"/>
      <c r="K93" s="217"/>
      <c r="L93" s="221">
        <f t="shared" si="12"/>
        <v>375953.93</v>
      </c>
      <c r="M93" s="221">
        <f t="shared" si="11"/>
        <v>77122.069999999992</v>
      </c>
      <c r="N93" s="221">
        <v>0</v>
      </c>
      <c r="O93" s="221">
        <v>0</v>
      </c>
    </row>
    <row r="94" spans="2:15" x14ac:dyDescent="0.25">
      <c r="C94" s="212"/>
      <c r="D94" s="213"/>
      <c r="E94" s="213"/>
      <c r="F94" s="214"/>
      <c r="G94" s="215"/>
      <c r="H94" s="216"/>
      <c r="I94" s="213"/>
      <c r="J94" s="217"/>
      <c r="K94" s="217"/>
      <c r="L94" s="213"/>
      <c r="M94" s="213"/>
      <c r="N94" s="213"/>
      <c r="O94" s="213"/>
    </row>
    <row r="95" spans="2:15" ht="13.8" thickBot="1" x14ac:dyDescent="0.3">
      <c r="B95" s="227" t="s">
        <v>238</v>
      </c>
      <c r="C95" s="228">
        <f t="shared" ref="C95:H95" si="13">SUM(C79:C94)</f>
        <v>32000000</v>
      </c>
      <c r="D95" s="228">
        <f t="shared" si="13"/>
        <v>0</v>
      </c>
      <c r="E95" s="228">
        <f t="shared" si="13"/>
        <v>0</v>
      </c>
      <c r="F95" s="228">
        <f t="shared" si="13"/>
        <v>11547597.57</v>
      </c>
      <c r="G95" s="228">
        <f t="shared" si="13"/>
        <v>20452402.429999996</v>
      </c>
      <c r="H95" s="228">
        <f t="shared" si="13"/>
        <v>6113082.7899999991</v>
      </c>
      <c r="I95" s="228">
        <f>SUM(I4:I94)</f>
        <v>4506853.62</v>
      </c>
      <c r="J95" s="228">
        <f t="shared" ref="J95:O95" si="14">SUM(J79:J94)</f>
        <v>0</v>
      </c>
      <c r="K95" s="228">
        <f t="shared" si="14"/>
        <v>0</v>
      </c>
      <c r="L95" s="228">
        <f t="shared" si="14"/>
        <v>14339319.639999999</v>
      </c>
      <c r="M95" s="228">
        <f t="shared" si="14"/>
        <v>2790197.8699999996</v>
      </c>
      <c r="N95" s="228">
        <f t="shared" si="14"/>
        <v>1946073.1199999999</v>
      </c>
      <c r="O95" s="228">
        <f t="shared" si="14"/>
        <v>1376811.8</v>
      </c>
    </row>
    <row r="96" spans="2:15" ht="13.8" thickTop="1" x14ac:dyDescent="0.25">
      <c r="C96" s="212"/>
      <c r="D96" s="213"/>
      <c r="E96" s="213"/>
      <c r="F96" s="214"/>
      <c r="G96" s="215"/>
      <c r="H96" s="216"/>
      <c r="I96" s="213"/>
      <c r="J96" s="217"/>
      <c r="K96" s="217"/>
      <c r="L96" s="213"/>
      <c r="M96" s="213"/>
      <c r="N96" s="213"/>
      <c r="O96" s="213"/>
    </row>
    <row r="97" spans="1:15" x14ac:dyDescent="0.25">
      <c r="A97" s="224" t="s">
        <v>239</v>
      </c>
      <c r="C97" s="212"/>
      <c r="D97" s="213"/>
      <c r="E97" s="213"/>
      <c r="F97" s="187"/>
      <c r="G97" s="222"/>
      <c r="H97" s="223"/>
      <c r="I97" s="222"/>
      <c r="J97" s="222"/>
      <c r="K97" s="222"/>
      <c r="L97" s="221"/>
      <c r="M97" s="221"/>
      <c r="N97" s="221"/>
      <c r="O97" s="221"/>
    </row>
    <row r="98" spans="1:15" x14ac:dyDescent="0.25">
      <c r="B98" s="184" t="s">
        <v>240</v>
      </c>
      <c r="C98" s="212">
        <v>5000000</v>
      </c>
      <c r="D98" s="213"/>
      <c r="E98" s="213"/>
      <c r="F98" s="221">
        <f>3442.39+202638.55+926670.4</f>
        <v>1132751.3400000001</v>
      </c>
      <c r="G98" s="222">
        <v>3867248.6600000006</v>
      </c>
      <c r="H98" s="223">
        <v>1058687.83</v>
      </c>
      <c r="I98" s="221">
        <f>[4]UMES!I203</f>
        <v>0</v>
      </c>
      <c r="J98" s="226">
        <f>[4]UMES!J203</f>
        <v>0</v>
      </c>
      <c r="K98" s="226">
        <f>[4]UMES!K203</f>
        <v>0</v>
      </c>
      <c r="L98" s="221">
        <f>G98-H98-I98-J98-K98</f>
        <v>2808560.8300000005</v>
      </c>
      <c r="M98" s="221">
        <f>H98-N98-O98</f>
        <v>342221.83000000007</v>
      </c>
      <c r="N98" s="221">
        <v>716466</v>
      </c>
      <c r="O98" s="221">
        <v>0</v>
      </c>
    </row>
    <row r="99" spans="1:15" x14ac:dyDescent="0.25">
      <c r="B99" s="184" t="s">
        <v>236</v>
      </c>
      <c r="C99" s="212">
        <v>1008000</v>
      </c>
      <c r="D99" s="213"/>
      <c r="E99" s="213"/>
      <c r="F99" s="221">
        <f>51347.72+344271.58+612380.7</f>
        <v>1008000</v>
      </c>
      <c r="G99" s="222">
        <v>0</v>
      </c>
      <c r="H99" s="223">
        <v>0</v>
      </c>
      <c r="I99" s="221">
        <f>[4]UMES!I184</f>
        <v>0</v>
      </c>
      <c r="J99" s="226">
        <f>[4]UMES!J184</f>
        <v>0</v>
      </c>
      <c r="K99" s="226">
        <f>[4]UMES!K184</f>
        <v>0</v>
      </c>
      <c r="L99" s="221">
        <f t="shared" ref="L99:L117" si="15">G99-H99-I99-J99-K99</f>
        <v>0</v>
      </c>
      <c r="M99" s="221">
        <f>H99-N99-O99</f>
        <v>0</v>
      </c>
      <c r="N99" s="221">
        <v>0</v>
      </c>
      <c r="O99" s="221">
        <v>0</v>
      </c>
    </row>
    <row r="100" spans="1:15" x14ac:dyDescent="0.25">
      <c r="B100" s="184" t="s">
        <v>241</v>
      </c>
      <c r="C100" s="212">
        <v>2346000</v>
      </c>
      <c r="D100" s="213"/>
      <c r="E100" s="213"/>
      <c r="F100" s="221">
        <f>146449.9+2199550.1</f>
        <v>2346000</v>
      </c>
      <c r="G100" s="222">
        <v>0</v>
      </c>
      <c r="H100" s="223">
        <v>0</v>
      </c>
      <c r="I100" s="221">
        <f>[4]UMBC!I126</f>
        <v>0</v>
      </c>
      <c r="J100" s="226">
        <f>[4]UMBC!J126</f>
        <v>0</v>
      </c>
      <c r="K100" s="226">
        <f>[4]UMBC!K126</f>
        <v>0</v>
      </c>
      <c r="L100" s="221">
        <f t="shared" si="15"/>
        <v>0</v>
      </c>
      <c r="M100" s="221">
        <f>H100-N100-O100</f>
        <v>0</v>
      </c>
      <c r="N100" s="221">
        <v>0</v>
      </c>
      <c r="O100" s="221">
        <v>0</v>
      </c>
    </row>
    <row r="101" spans="1:15" x14ac:dyDescent="0.25">
      <c r="B101" s="184" t="s">
        <v>242</v>
      </c>
      <c r="C101" s="212">
        <v>5000000</v>
      </c>
      <c r="D101" s="213"/>
      <c r="E101" s="213"/>
      <c r="F101" s="221">
        <f>1180.17+2012908.63+2985911.2</f>
        <v>5000000</v>
      </c>
      <c r="G101" s="222">
        <v>0</v>
      </c>
      <c r="H101" s="223">
        <v>0</v>
      </c>
      <c r="I101" s="221">
        <f>'[4]USM &amp; COI'!I113</f>
        <v>0</v>
      </c>
      <c r="J101" s="226">
        <f>'[4]USM &amp; COI'!J113</f>
        <v>0</v>
      </c>
      <c r="K101" s="226">
        <f>'[4]USM &amp; COI'!K113</f>
        <v>0</v>
      </c>
      <c r="L101" s="221">
        <f t="shared" si="15"/>
        <v>0</v>
      </c>
      <c r="M101" s="221">
        <f>H101-N101-O101</f>
        <v>0</v>
      </c>
      <c r="N101" s="221">
        <v>0</v>
      </c>
      <c r="O101" s="221">
        <v>0</v>
      </c>
    </row>
    <row r="102" spans="1:15" x14ac:dyDescent="0.25">
      <c r="B102" s="184" t="s">
        <v>243</v>
      </c>
      <c r="C102" s="212">
        <v>2000000</v>
      </c>
      <c r="D102" s="213"/>
      <c r="E102" s="213"/>
      <c r="F102" s="221">
        <f>2000000</f>
        <v>2000000</v>
      </c>
      <c r="G102" s="222">
        <v>0</v>
      </c>
      <c r="H102" s="223">
        <v>0</v>
      </c>
      <c r="I102" s="221">
        <v>0</v>
      </c>
      <c r="J102" s="226">
        <v>0</v>
      </c>
      <c r="K102" s="226">
        <v>0</v>
      </c>
      <c r="L102" s="221">
        <f t="shared" si="15"/>
        <v>0</v>
      </c>
      <c r="M102" s="221">
        <f>H102-N102-O102</f>
        <v>0</v>
      </c>
      <c r="N102" s="221">
        <v>0</v>
      </c>
      <c r="O102" s="221">
        <v>0</v>
      </c>
    </row>
    <row r="103" spans="1:15" x14ac:dyDescent="0.25">
      <c r="B103" s="224" t="s">
        <v>201</v>
      </c>
      <c r="C103" s="212"/>
      <c r="D103" s="213"/>
      <c r="E103" s="213"/>
      <c r="F103" s="221"/>
      <c r="G103" s="222"/>
      <c r="H103" s="223"/>
      <c r="I103" s="221"/>
      <c r="J103" s="226"/>
      <c r="K103" s="226"/>
      <c r="L103" s="221"/>
      <c r="M103" s="221"/>
      <c r="N103" s="221"/>
      <c r="O103" s="221"/>
    </row>
    <row r="104" spans="1:15" x14ac:dyDescent="0.25">
      <c r="B104" s="184" t="s">
        <v>202</v>
      </c>
      <c r="C104" s="212">
        <v>7300000</v>
      </c>
      <c r="D104" s="213"/>
      <c r="E104" s="213"/>
      <c r="F104" s="221">
        <f>194905.04+7105094.96</f>
        <v>7300000</v>
      </c>
      <c r="G104" s="222">
        <v>0</v>
      </c>
      <c r="H104" s="223">
        <v>0</v>
      </c>
      <c r="I104" s="221">
        <f>[4]UMCP!I154</f>
        <v>0</v>
      </c>
      <c r="J104" s="226">
        <f>[4]UMCP!J154</f>
        <v>0</v>
      </c>
      <c r="K104" s="226">
        <f>[4]UMCP!K154</f>
        <v>0</v>
      </c>
      <c r="L104" s="221">
        <f t="shared" si="15"/>
        <v>0</v>
      </c>
      <c r="M104" s="221">
        <f t="shared" ref="M104:M117" si="16">H104-N104-O104</f>
        <v>0</v>
      </c>
      <c r="N104" s="221">
        <v>0</v>
      </c>
      <c r="O104" s="221">
        <v>0</v>
      </c>
    </row>
    <row r="105" spans="1:15" x14ac:dyDescent="0.25">
      <c r="B105" s="184" t="s">
        <v>203</v>
      </c>
      <c r="C105" s="212">
        <v>2675000</v>
      </c>
      <c r="D105" s="213"/>
      <c r="E105" s="213"/>
      <c r="F105" s="221">
        <f>431549.85+72768.56+10256.2</f>
        <v>514574.61</v>
      </c>
      <c r="G105" s="222">
        <v>2160425.39</v>
      </c>
      <c r="H105" s="223">
        <v>2086618.8499999996</v>
      </c>
      <c r="I105" s="221">
        <f>[4]UMB!I172</f>
        <v>0</v>
      </c>
      <c r="J105" s="226">
        <f>[4]UMB!J172</f>
        <v>0</v>
      </c>
      <c r="K105" s="226">
        <f>[4]UMB!K172</f>
        <v>0</v>
      </c>
      <c r="L105" s="221">
        <f t="shared" si="15"/>
        <v>73806.540000000503</v>
      </c>
      <c r="M105" s="221">
        <f t="shared" si="16"/>
        <v>967219.99999999965</v>
      </c>
      <c r="N105" s="221">
        <v>135937.27000000014</v>
      </c>
      <c r="O105" s="221">
        <v>983461.58</v>
      </c>
    </row>
    <row r="106" spans="1:15" x14ac:dyDescent="0.25">
      <c r="B106" s="184" t="s">
        <v>204</v>
      </c>
      <c r="C106" s="212">
        <v>642000</v>
      </c>
      <c r="D106" s="213"/>
      <c r="E106" s="213"/>
      <c r="F106" s="221">
        <f>550000+89800</f>
        <v>639800</v>
      </c>
      <c r="G106" s="222">
        <v>2200</v>
      </c>
      <c r="H106" s="223">
        <v>0</v>
      </c>
      <c r="I106" s="221">
        <f>[4]UMES!I95</f>
        <v>0</v>
      </c>
      <c r="J106" s="226">
        <f>[4]UMES!J95</f>
        <v>0</v>
      </c>
      <c r="K106" s="226">
        <f>[4]UMES!K95</f>
        <v>0</v>
      </c>
      <c r="L106" s="221">
        <f t="shared" si="15"/>
        <v>2200</v>
      </c>
      <c r="M106" s="221">
        <f t="shared" si="16"/>
        <v>0</v>
      </c>
      <c r="N106" s="221">
        <v>0</v>
      </c>
      <c r="O106" s="221">
        <v>0</v>
      </c>
    </row>
    <row r="107" spans="1:15" x14ac:dyDescent="0.25">
      <c r="B107" s="184" t="s">
        <v>205</v>
      </c>
      <c r="C107" s="212">
        <v>1452000</v>
      </c>
      <c r="D107" s="213"/>
      <c r="E107" s="213"/>
      <c r="F107" s="221">
        <f>75864.25</f>
        <v>75864.25</v>
      </c>
      <c r="G107" s="222">
        <v>1376135.75</v>
      </c>
      <c r="H107" s="223">
        <v>163019.81000000003</v>
      </c>
      <c r="I107" s="221">
        <f>[4]UMBC!I82</f>
        <v>0</v>
      </c>
      <c r="J107" s="226">
        <f>[4]UMBC!J82</f>
        <v>0</v>
      </c>
      <c r="K107" s="226">
        <f>[4]UMBC!K82</f>
        <v>0</v>
      </c>
      <c r="L107" s="221">
        <f t="shared" si="15"/>
        <v>1213115.94</v>
      </c>
      <c r="M107" s="221">
        <f t="shared" si="16"/>
        <v>28513.380000000005</v>
      </c>
      <c r="N107" s="221">
        <v>79381.630000000019</v>
      </c>
      <c r="O107" s="221">
        <v>55124.800000000003</v>
      </c>
    </row>
    <row r="108" spans="1:15" x14ac:dyDescent="0.25">
      <c r="B108" s="184" t="s">
        <v>206</v>
      </c>
      <c r="C108" s="212">
        <v>317000</v>
      </c>
      <c r="D108" s="213"/>
      <c r="E108" s="213"/>
      <c r="F108" s="221">
        <f>317000</f>
        <v>317000</v>
      </c>
      <c r="G108" s="222">
        <v>0</v>
      </c>
      <c r="H108" s="223">
        <v>0</v>
      </c>
      <c r="I108" s="221">
        <v>0</v>
      </c>
      <c r="J108" s="226">
        <v>0</v>
      </c>
      <c r="K108" s="226">
        <v>0</v>
      </c>
      <c r="L108" s="221">
        <f t="shared" si="15"/>
        <v>0</v>
      </c>
      <c r="M108" s="221">
        <f t="shared" si="16"/>
        <v>0</v>
      </c>
      <c r="N108" s="221">
        <v>0</v>
      </c>
      <c r="O108" s="221">
        <v>0</v>
      </c>
    </row>
    <row r="109" spans="1:15" s="234" customFormat="1" x14ac:dyDescent="0.25">
      <c r="B109" s="234" t="s">
        <v>207</v>
      </c>
      <c r="C109" s="235">
        <v>554000</v>
      </c>
      <c r="D109" s="236"/>
      <c r="E109" s="236"/>
      <c r="F109" s="237">
        <f>385023.91+8523.63</f>
        <v>393547.54</v>
      </c>
      <c r="G109" s="238">
        <v>160452.45999999996</v>
      </c>
      <c r="H109" s="238">
        <v>160452.46</v>
      </c>
      <c r="I109" s="237">
        <f>[4]BSU!I64</f>
        <v>0</v>
      </c>
      <c r="J109" s="239">
        <f>[4]BSU!J64</f>
        <v>0</v>
      </c>
      <c r="K109" s="239">
        <f>[4]BSU!K64</f>
        <v>0</v>
      </c>
      <c r="L109" s="237">
        <f t="shared" si="15"/>
        <v>-2.9103830456733704E-11</v>
      </c>
      <c r="M109" s="237">
        <f t="shared" si="16"/>
        <v>0</v>
      </c>
      <c r="N109" s="237">
        <v>160452.46</v>
      </c>
      <c r="O109" s="237">
        <v>0</v>
      </c>
    </row>
    <row r="110" spans="1:15" x14ac:dyDescent="0.25">
      <c r="B110" s="184" t="s">
        <v>208</v>
      </c>
      <c r="C110" s="212">
        <v>309000</v>
      </c>
      <c r="D110" s="213"/>
      <c r="E110" s="213"/>
      <c r="F110" s="221">
        <f>309000</f>
        <v>309000</v>
      </c>
      <c r="G110" s="222">
        <v>0</v>
      </c>
      <c r="H110" s="223">
        <v>0</v>
      </c>
      <c r="I110" s="221">
        <f>[4]CSU!I58</f>
        <v>0</v>
      </c>
      <c r="J110" s="226">
        <f>[4]CSU!J58</f>
        <v>0</v>
      </c>
      <c r="K110" s="226">
        <f>[4]CSU!K58</f>
        <v>0</v>
      </c>
      <c r="L110" s="221">
        <f t="shared" si="15"/>
        <v>0</v>
      </c>
      <c r="M110" s="221">
        <f t="shared" si="16"/>
        <v>0</v>
      </c>
      <c r="N110" s="221">
        <v>0</v>
      </c>
      <c r="O110" s="221">
        <v>0</v>
      </c>
    </row>
    <row r="111" spans="1:15" x14ac:dyDescent="0.25">
      <c r="B111" s="184" t="s">
        <v>209</v>
      </c>
      <c r="C111" s="212">
        <v>645000</v>
      </c>
      <c r="D111" s="213"/>
      <c r="E111" s="213"/>
      <c r="F111" s="221">
        <f>36199.86+216461.22+179395.12</f>
        <v>432056.2</v>
      </c>
      <c r="G111" s="222">
        <v>212943.80000000005</v>
      </c>
      <c r="H111" s="223">
        <v>212943.8</v>
      </c>
      <c r="I111" s="221">
        <f>[4]FSU!I109</f>
        <v>0</v>
      </c>
      <c r="J111" s="226">
        <f>[4]FSU!J109</f>
        <v>0</v>
      </c>
      <c r="K111" s="226">
        <f>[4]FSU!K109</f>
        <v>0</v>
      </c>
      <c r="L111" s="221">
        <f t="shared" si="15"/>
        <v>5.8207660913467407E-11</v>
      </c>
      <c r="M111" s="221">
        <f t="shared" si="16"/>
        <v>0</v>
      </c>
      <c r="N111" s="221">
        <v>0</v>
      </c>
      <c r="O111" s="221">
        <v>212943.8</v>
      </c>
    </row>
    <row r="112" spans="1:15" x14ac:dyDescent="0.25">
      <c r="B112" s="184" t="s">
        <v>226</v>
      </c>
      <c r="C112" s="212">
        <v>536000</v>
      </c>
      <c r="D112" s="213"/>
      <c r="E112" s="213"/>
      <c r="F112" s="221">
        <f>49413.17+486586.83</f>
        <v>536000</v>
      </c>
      <c r="G112" s="222">
        <v>0</v>
      </c>
      <c r="H112" s="223">
        <v>0</v>
      </c>
      <c r="I112" s="221">
        <f>[4]SU!I61</f>
        <v>0</v>
      </c>
      <c r="J112" s="226">
        <f>[4]SU!J61</f>
        <v>0</v>
      </c>
      <c r="K112" s="226">
        <f>[4]SU!K61</f>
        <v>0</v>
      </c>
      <c r="L112" s="221">
        <f t="shared" si="15"/>
        <v>0</v>
      </c>
      <c r="M112" s="221">
        <f t="shared" si="16"/>
        <v>0</v>
      </c>
      <c r="N112" s="221">
        <v>0</v>
      </c>
      <c r="O112" s="221">
        <v>0</v>
      </c>
    </row>
    <row r="113" spans="1:15" x14ac:dyDescent="0.25">
      <c r="B113" s="184" t="s">
        <v>211</v>
      </c>
      <c r="C113" s="212">
        <f>525000+575000+489000</f>
        <v>1589000</v>
      </c>
      <c r="D113" s="213"/>
      <c r="E113" s="213"/>
      <c r="F113" s="221">
        <f>360938.78+43732.93</f>
        <v>404671.71</v>
      </c>
      <c r="G113" s="222">
        <v>1184328.29</v>
      </c>
      <c r="H113" s="223">
        <v>1180075.1099999999</v>
      </c>
      <c r="I113" s="221">
        <f>[4]TU!I96+[4]TU!I112+[4]TU!I124</f>
        <v>0</v>
      </c>
      <c r="J113" s="226">
        <f>[4]TU!J96+[4]TU!J112+[4]TU!J124</f>
        <v>0</v>
      </c>
      <c r="K113" s="226">
        <f>[4]TU!K96+[4]TU!K112+[4]TU!K124</f>
        <v>0</v>
      </c>
      <c r="L113" s="221">
        <f t="shared" si="15"/>
        <v>4253.1800000001676</v>
      </c>
      <c r="M113" s="221">
        <f t="shared" si="16"/>
        <v>534094.31999999983</v>
      </c>
      <c r="N113" s="221">
        <v>474747.43000000005</v>
      </c>
      <c r="O113" s="221">
        <v>171233.36</v>
      </c>
    </row>
    <row r="114" spans="1:15" s="234" customFormat="1" x14ac:dyDescent="0.25">
      <c r="B114" s="234" t="s">
        <v>212</v>
      </c>
      <c r="C114" s="235">
        <v>418000</v>
      </c>
      <c r="D114" s="236"/>
      <c r="E114" s="236"/>
      <c r="F114" s="237">
        <f>157585.77+164124.54+19900+15132.35+4208.6</f>
        <v>360951.25999999995</v>
      </c>
      <c r="G114" s="238">
        <v>57048.739999999991</v>
      </c>
      <c r="H114" s="245">
        <v>42434.860000000008</v>
      </c>
      <c r="I114" s="237">
        <f>[4]UB!I88</f>
        <v>0</v>
      </c>
      <c r="J114" s="239">
        <f>[4]UB!J88</f>
        <v>0</v>
      </c>
      <c r="K114" s="239">
        <f>[4]UB!K88</f>
        <v>0</v>
      </c>
      <c r="L114" s="237">
        <f t="shared" si="15"/>
        <v>14613.879999999983</v>
      </c>
      <c r="M114" s="237">
        <f t="shared" si="16"/>
        <v>5025.760000000002</v>
      </c>
      <c r="N114" s="237">
        <v>10436.270000000004</v>
      </c>
      <c r="O114" s="237">
        <v>26972.83</v>
      </c>
    </row>
    <row r="115" spans="1:15" x14ac:dyDescent="0.25">
      <c r="B115" s="224" t="s">
        <v>216</v>
      </c>
      <c r="C115" s="212">
        <v>2209000</v>
      </c>
      <c r="D115" s="184"/>
      <c r="E115" s="221">
        <f>955.58+30+236864.83+43817.68+38000+113000+563000+287627.14-24627.14-1400000-1520000</f>
        <v>-1661331.91</v>
      </c>
      <c r="F115" s="221"/>
      <c r="G115" s="222">
        <v>547668.09000000032</v>
      </c>
      <c r="H115" s="223"/>
      <c r="I115" s="221"/>
      <c r="J115" s="226"/>
      <c r="K115" s="226"/>
      <c r="L115" s="221">
        <f t="shared" si="15"/>
        <v>547668.09000000032</v>
      </c>
      <c r="M115" s="221">
        <f t="shared" si="16"/>
        <v>0</v>
      </c>
      <c r="N115" s="221"/>
      <c r="O115" s="221"/>
    </row>
    <row r="116" spans="1:15" x14ac:dyDescent="0.25">
      <c r="B116" s="184" t="s">
        <v>244</v>
      </c>
      <c r="C116" s="212"/>
      <c r="D116" s="184"/>
      <c r="E116" s="221">
        <v>1400000</v>
      </c>
      <c r="F116" s="221">
        <f>301683.5+1098316.5</f>
        <v>1400000</v>
      </c>
      <c r="G116" s="222">
        <v>0</v>
      </c>
      <c r="H116" s="223">
        <v>0</v>
      </c>
      <c r="I116" s="221"/>
      <c r="J116" s="226"/>
      <c r="K116" s="226"/>
      <c r="L116" s="221">
        <f t="shared" si="15"/>
        <v>0</v>
      </c>
      <c r="M116" s="221">
        <f t="shared" si="16"/>
        <v>0</v>
      </c>
      <c r="N116" s="221">
        <v>0</v>
      </c>
      <c r="O116" s="221">
        <v>0</v>
      </c>
    </row>
    <row r="117" spans="1:15" x14ac:dyDescent="0.25">
      <c r="B117" s="184" t="s">
        <v>245</v>
      </c>
      <c r="C117" s="212"/>
      <c r="D117" s="184"/>
      <c r="E117" s="221">
        <v>1520000</v>
      </c>
      <c r="F117" s="221">
        <f>145740.07</f>
        <v>145740.07</v>
      </c>
      <c r="G117" s="222">
        <v>1374259.93</v>
      </c>
      <c r="H117" s="223">
        <v>1374259.93</v>
      </c>
      <c r="I117" s="221"/>
      <c r="J117" s="226"/>
      <c r="K117" s="226">
        <f>'[4]USM &amp; COI'!K49</f>
        <v>0</v>
      </c>
      <c r="L117" s="221">
        <f t="shared" si="15"/>
        <v>0</v>
      </c>
      <c r="M117" s="221">
        <f t="shared" si="16"/>
        <v>0</v>
      </c>
      <c r="N117" s="221">
        <v>744416.44</v>
      </c>
      <c r="O117" s="221">
        <v>629843.49</v>
      </c>
    </row>
    <row r="118" spans="1:15" x14ac:dyDescent="0.25">
      <c r="B118" s="224"/>
      <c r="C118" s="212"/>
      <c r="D118" s="213"/>
      <c r="E118" s="213"/>
      <c r="F118" s="221"/>
      <c r="G118" s="222"/>
      <c r="H118" s="223"/>
      <c r="I118" s="221"/>
      <c r="J118" s="226"/>
      <c r="K118" s="226"/>
      <c r="L118" s="221"/>
      <c r="M118" s="221"/>
      <c r="N118" s="221"/>
      <c r="O118" s="221"/>
    </row>
    <row r="119" spans="1:15" ht="13.8" thickBot="1" x14ac:dyDescent="0.3">
      <c r="B119" s="227" t="s">
        <v>246</v>
      </c>
      <c r="C119" s="228">
        <f>SUM(C98:C118)</f>
        <v>34000000</v>
      </c>
      <c r="D119" s="228">
        <f t="shared" ref="D119:O119" si="17">SUM(D98:D118)</f>
        <v>0</v>
      </c>
      <c r="E119" s="228">
        <f t="shared" si="17"/>
        <v>1258668.0900000001</v>
      </c>
      <c r="F119" s="228">
        <f>SUM(F98:F118)</f>
        <v>24315956.98</v>
      </c>
      <c r="G119" s="228">
        <f t="shared" si="17"/>
        <v>10942711.110000001</v>
      </c>
      <c r="H119" s="228">
        <f t="shared" si="17"/>
        <v>6278492.6499999994</v>
      </c>
      <c r="I119" s="228">
        <f t="shared" si="17"/>
        <v>0</v>
      </c>
      <c r="J119" s="228">
        <f t="shared" si="17"/>
        <v>0</v>
      </c>
      <c r="K119" s="228">
        <f t="shared" si="17"/>
        <v>0</v>
      </c>
      <c r="L119" s="228">
        <f t="shared" si="17"/>
        <v>4664218.4600000009</v>
      </c>
      <c r="M119" s="228">
        <f t="shared" si="17"/>
        <v>1877075.2899999993</v>
      </c>
      <c r="N119" s="228">
        <f t="shared" si="17"/>
        <v>2321837.5</v>
      </c>
      <c r="O119" s="228">
        <f t="shared" si="17"/>
        <v>2079579.86</v>
      </c>
    </row>
    <row r="120" spans="1:15" ht="13.8" thickTop="1" x14ac:dyDescent="0.25">
      <c r="B120" s="224"/>
      <c r="C120" s="212"/>
      <c r="D120" s="213"/>
      <c r="E120" s="213"/>
      <c r="F120" s="221"/>
      <c r="G120" s="222"/>
      <c r="H120" s="223"/>
      <c r="I120" s="221"/>
      <c r="J120" s="226"/>
      <c r="K120" s="226"/>
      <c r="L120" s="221"/>
      <c r="M120" s="221"/>
      <c r="N120" s="221"/>
      <c r="O120" s="221"/>
    </row>
    <row r="121" spans="1:15" x14ac:dyDescent="0.25">
      <c r="A121" s="224" t="s">
        <v>247</v>
      </c>
      <c r="C121" s="212"/>
      <c r="D121" s="213"/>
      <c r="E121" s="213"/>
      <c r="F121" s="246"/>
      <c r="G121" s="222"/>
      <c r="H121" s="223"/>
      <c r="I121" s="222"/>
      <c r="J121" s="222"/>
      <c r="K121" s="222"/>
      <c r="L121" s="221"/>
      <c r="M121" s="221"/>
      <c r="N121" s="221"/>
      <c r="O121" s="221"/>
    </row>
    <row r="122" spans="1:15" x14ac:dyDescent="0.25">
      <c r="B122" s="184" t="s">
        <v>248</v>
      </c>
      <c r="C122" s="212">
        <v>5000000</v>
      </c>
      <c r="D122" s="213"/>
      <c r="E122" s="213"/>
      <c r="F122" s="247">
        <f>1519594.09+758267.97+1278318.07</f>
        <v>3556180.13</v>
      </c>
      <c r="G122" s="222">
        <v>1443819.8700000003</v>
      </c>
      <c r="H122" s="223">
        <v>73368.990000000005</v>
      </c>
      <c r="I122" s="221">
        <f>[4]UMBC!I120</f>
        <v>0</v>
      </c>
      <c r="J122" s="226">
        <f>[4]UMBC!J120</f>
        <v>0</v>
      </c>
      <c r="K122" s="226">
        <f>[4]UMBC!K120</f>
        <v>0</v>
      </c>
      <c r="L122" s="221">
        <f>G122-H122-I122-J122-K122</f>
        <v>1370450.8800000004</v>
      </c>
      <c r="M122" s="221">
        <f t="shared" ref="M122:M141" si="18">H122-N122-O122</f>
        <v>70554.420000000013</v>
      </c>
      <c r="N122" s="221">
        <v>2814.5699999999997</v>
      </c>
      <c r="O122" s="221">
        <v>0</v>
      </c>
    </row>
    <row r="123" spans="1:15" x14ac:dyDescent="0.25">
      <c r="B123" s="184" t="s">
        <v>243</v>
      </c>
      <c r="C123" s="212">
        <v>2000000</v>
      </c>
      <c r="D123" s="213"/>
      <c r="E123" s="213"/>
      <c r="F123" s="222">
        <f>2000000</f>
        <v>2000000</v>
      </c>
      <c r="G123" s="222">
        <v>0</v>
      </c>
      <c r="H123" s="223">
        <v>0</v>
      </c>
      <c r="I123" s="221">
        <v>0</v>
      </c>
      <c r="J123" s="226">
        <v>0</v>
      </c>
      <c r="K123" s="226">
        <v>0</v>
      </c>
      <c r="L123" s="221">
        <f>G123-H123-I123-J123-K123</f>
        <v>0</v>
      </c>
      <c r="M123" s="221">
        <f t="shared" si="18"/>
        <v>0</v>
      </c>
      <c r="N123" s="221">
        <v>0</v>
      </c>
      <c r="O123" s="221">
        <v>0</v>
      </c>
    </row>
    <row r="124" spans="1:15" x14ac:dyDescent="0.25">
      <c r="B124" s="224" t="s">
        <v>201</v>
      </c>
      <c r="C124" s="212"/>
      <c r="D124" s="213"/>
      <c r="E124" s="213"/>
      <c r="F124" s="222"/>
      <c r="G124" s="222"/>
      <c r="H124" s="223"/>
      <c r="I124" s="221"/>
      <c r="J124" s="226"/>
      <c r="K124" s="226"/>
      <c r="L124" s="221"/>
      <c r="M124" s="221"/>
      <c r="N124" s="221"/>
      <c r="O124" s="221"/>
    </row>
    <row r="125" spans="1:15" x14ac:dyDescent="0.25">
      <c r="B125" s="184" t="s">
        <v>202</v>
      </c>
      <c r="C125" s="212">
        <v>7300000</v>
      </c>
      <c r="D125" s="213"/>
      <c r="E125" s="213"/>
      <c r="F125" s="222">
        <f>7300000</f>
        <v>7300000</v>
      </c>
      <c r="G125" s="222">
        <v>0</v>
      </c>
      <c r="H125" s="223">
        <v>0</v>
      </c>
      <c r="I125" s="221">
        <v>0</v>
      </c>
      <c r="J125" s="226">
        <v>0</v>
      </c>
      <c r="K125" s="226">
        <v>0</v>
      </c>
      <c r="L125" s="221">
        <f>G125-H125-I125-J125-K125</f>
        <v>0</v>
      </c>
      <c r="M125" s="221">
        <f t="shared" si="18"/>
        <v>0</v>
      </c>
      <c r="N125" s="221">
        <v>0</v>
      </c>
      <c r="O125" s="221">
        <v>0</v>
      </c>
    </row>
    <row r="126" spans="1:15" x14ac:dyDescent="0.25">
      <c r="B126" s="184" t="s">
        <v>203</v>
      </c>
      <c r="C126" s="212">
        <v>2675000</v>
      </c>
      <c r="D126" s="213"/>
      <c r="E126" s="213"/>
      <c r="F126" s="221">
        <f>13390+405590.39+429133.23</f>
        <v>848113.62</v>
      </c>
      <c r="G126" s="222">
        <v>1826886.38</v>
      </c>
      <c r="H126" s="223">
        <v>1026172.55</v>
      </c>
      <c r="I126" s="221">
        <f>[4]UMB!I195</f>
        <v>0</v>
      </c>
      <c r="J126" s="226">
        <f>[4]UMB!J195</f>
        <v>0</v>
      </c>
      <c r="K126" s="226">
        <f>[4]UMB!K195</f>
        <v>0</v>
      </c>
      <c r="L126" s="221">
        <f t="shared" ref="L126:L141" si="19">G126-H126-I126-J126-K126</f>
        <v>800713.82999999984</v>
      </c>
      <c r="M126" s="221">
        <f t="shared" si="18"/>
        <v>19821.059999999939</v>
      </c>
      <c r="N126" s="221">
        <v>202099.75000000012</v>
      </c>
      <c r="O126" s="221">
        <v>804251.74</v>
      </c>
    </row>
    <row r="127" spans="1:15" x14ac:dyDescent="0.25">
      <c r="B127" s="184" t="s">
        <v>204</v>
      </c>
      <c r="C127" s="212">
        <v>642000</v>
      </c>
      <c r="D127" s="213"/>
      <c r="E127" s="213"/>
      <c r="F127" s="221">
        <v>832.28</v>
      </c>
      <c r="G127" s="222">
        <v>641167.72</v>
      </c>
      <c r="H127" s="223">
        <v>519500.06000000011</v>
      </c>
      <c r="I127" s="221">
        <f>[4]UMES!I118</f>
        <v>0</v>
      </c>
      <c r="J127" s="226">
        <f>[4]UMES!J118</f>
        <v>0</v>
      </c>
      <c r="K127" s="226">
        <f>[4]UMES!K118</f>
        <v>0</v>
      </c>
      <c r="L127" s="221">
        <f t="shared" si="19"/>
        <v>121667.65999999986</v>
      </c>
      <c r="M127" s="221">
        <f t="shared" si="18"/>
        <v>39843.630000000005</v>
      </c>
      <c r="N127" s="221">
        <v>479656.43000000011</v>
      </c>
      <c r="O127" s="221">
        <v>0</v>
      </c>
    </row>
    <row r="128" spans="1:15" x14ac:dyDescent="0.25">
      <c r="B128" s="184" t="s">
        <v>205</v>
      </c>
      <c r="C128" s="212">
        <v>1452000</v>
      </c>
      <c r="D128" s="213"/>
      <c r="E128" s="213"/>
      <c r="F128" s="221">
        <f>340834.58+54036.14+38394.56</f>
        <v>433265.28</v>
      </c>
      <c r="G128" s="222">
        <v>1018734.72</v>
      </c>
      <c r="H128" s="223">
        <v>251929.83000000002</v>
      </c>
      <c r="I128" s="221">
        <f>[4]UMBC!I108</f>
        <v>0</v>
      </c>
      <c r="J128" s="226">
        <f>[4]UMBC!J108</f>
        <v>0</v>
      </c>
      <c r="K128" s="226">
        <f>[4]UMBC!K108</f>
        <v>0</v>
      </c>
      <c r="L128" s="221">
        <f t="shared" si="19"/>
        <v>766804.8899999999</v>
      </c>
      <c r="M128" s="221">
        <f t="shared" si="18"/>
        <v>96707.000000000029</v>
      </c>
      <c r="N128" s="221">
        <v>118919.48999999999</v>
      </c>
      <c r="O128" s="221">
        <v>36303.339999999997</v>
      </c>
    </row>
    <row r="129" spans="2:15" x14ac:dyDescent="0.25">
      <c r="B129" s="184" t="s">
        <v>206</v>
      </c>
      <c r="C129" s="212">
        <v>317000</v>
      </c>
      <c r="D129" s="213"/>
      <c r="E129" s="213"/>
      <c r="F129" s="221">
        <v>317000</v>
      </c>
      <c r="G129" s="222">
        <v>0</v>
      </c>
      <c r="H129" s="223">
        <v>0</v>
      </c>
      <c r="I129" s="221">
        <v>0</v>
      </c>
      <c r="J129" s="226">
        <v>0</v>
      </c>
      <c r="K129" s="226">
        <v>0</v>
      </c>
      <c r="L129" s="221">
        <f t="shared" si="19"/>
        <v>0</v>
      </c>
      <c r="M129" s="221">
        <f t="shared" si="18"/>
        <v>0</v>
      </c>
      <c r="N129" s="221">
        <v>0</v>
      </c>
      <c r="O129" s="221">
        <v>0</v>
      </c>
    </row>
    <row r="130" spans="2:15" x14ac:dyDescent="0.25">
      <c r="B130" s="184" t="s">
        <v>207</v>
      </c>
      <c r="C130" s="212">
        <v>554000</v>
      </c>
      <c r="D130" s="213"/>
      <c r="E130" s="213"/>
      <c r="F130" s="221">
        <f>144688.18+409311.82</f>
        <v>554000</v>
      </c>
      <c r="G130" s="222">
        <v>0</v>
      </c>
      <c r="H130" s="223">
        <v>0</v>
      </c>
      <c r="I130" s="221">
        <v>0</v>
      </c>
      <c r="J130" s="226">
        <v>0</v>
      </c>
      <c r="K130" s="226">
        <v>0</v>
      </c>
      <c r="L130" s="221">
        <f t="shared" si="19"/>
        <v>0</v>
      </c>
      <c r="M130" s="221">
        <f t="shared" si="18"/>
        <v>0</v>
      </c>
      <c r="N130" s="221">
        <v>0</v>
      </c>
      <c r="O130" s="221">
        <v>0</v>
      </c>
    </row>
    <row r="131" spans="2:15" x14ac:dyDescent="0.25">
      <c r="B131" s="184" t="s">
        <v>208</v>
      </c>
      <c r="C131" s="212">
        <v>654000</v>
      </c>
      <c r="D131" s="213"/>
      <c r="E131" s="213"/>
      <c r="F131" s="221">
        <f>405006.46+248993.54</f>
        <v>654000</v>
      </c>
      <c r="G131" s="222">
        <v>0</v>
      </c>
      <c r="H131" s="223">
        <v>0</v>
      </c>
      <c r="I131" s="221">
        <f>[4]CSU!I68</f>
        <v>0</v>
      </c>
      <c r="J131" s="226">
        <f>[4]CSU!J68</f>
        <v>0</v>
      </c>
      <c r="K131" s="226">
        <f>[4]CSU!K68</f>
        <v>0</v>
      </c>
      <c r="L131" s="221">
        <f t="shared" si="19"/>
        <v>0</v>
      </c>
      <c r="M131" s="221">
        <f t="shared" si="18"/>
        <v>0</v>
      </c>
      <c r="N131" s="221">
        <v>0</v>
      </c>
      <c r="O131" s="221">
        <v>0</v>
      </c>
    </row>
    <row r="132" spans="2:15" x14ac:dyDescent="0.25">
      <c r="B132" s="184" t="s">
        <v>209</v>
      </c>
      <c r="C132" s="212">
        <v>400000</v>
      </c>
      <c r="D132" s="213"/>
      <c r="E132" s="213"/>
      <c r="F132" s="221">
        <f>96350+239419.19</f>
        <v>335769.19</v>
      </c>
      <c r="G132" s="222">
        <v>64230.809999999969</v>
      </c>
      <c r="H132" s="223">
        <v>64230.810000000005</v>
      </c>
      <c r="I132" s="221">
        <f>[4]FSU!I122</f>
        <v>0</v>
      </c>
      <c r="J132" s="226">
        <f>[4]FSU!J122</f>
        <v>0</v>
      </c>
      <c r="K132" s="226">
        <f>[4]FSU!K122</f>
        <v>0</v>
      </c>
      <c r="L132" s="221">
        <f t="shared" si="19"/>
        <v>-3.637978807091713E-11</v>
      </c>
      <c r="M132" s="221">
        <f t="shared" si="18"/>
        <v>0</v>
      </c>
      <c r="N132" s="221">
        <v>47239.340000000004</v>
      </c>
      <c r="O132" s="221">
        <v>16991.47</v>
      </c>
    </row>
    <row r="133" spans="2:15" x14ac:dyDescent="0.25">
      <c r="B133" s="184" t="s">
        <v>226</v>
      </c>
      <c r="C133" s="212">
        <v>536000</v>
      </c>
      <c r="D133" s="213"/>
      <c r="E133" s="213"/>
      <c r="F133" s="221">
        <f>742.5+328152.75</f>
        <v>328895.25</v>
      </c>
      <c r="G133" s="222">
        <v>207104.75</v>
      </c>
      <c r="H133" s="223">
        <v>206747.25</v>
      </c>
      <c r="I133" s="221">
        <f>[4]SU!I72</f>
        <v>0</v>
      </c>
      <c r="J133" s="226">
        <f>[4]SU!J72</f>
        <v>0</v>
      </c>
      <c r="K133" s="226">
        <f>[4]SU!K72</f>
        <v>0</v>
      </c>
      <c r="L133" s="221">
        <f t="shared" si="19"/>
        <v>357.5</v>
      </c>
      <c r="M133" s="221">
        <f t="shared" si="18"/>
        <v>0</v>
      </c>
      <c r="N133" s="221">
        <v>204528</v>
      </c>
      <c r="O133" s="221">
        <v>2219.25</v>
      </c>
    </row>
    <row r="134" spans="2:15" x14ac:dyDescent="0.25">
      <c r="B134" s="184" t="s">
        <v>211</v>
      </c>
      <c r="C134" s="212">
        <v>1589000</v>
      </c>
      <c r="D134" s="213"/>
      <c r="E134" s="213"/>
      <c r="F134" s="221">
        <f>367011.51+207988.49+357268.33+489000</f>
        <v>1421268.33</v>
      </c>
      <c r="G134" s="222">
        <v>167731.66999999998</v>
      </c>
      <c r="H134" s="223">
        <v>167731.07</v>
      </c>
      <c r="I134" s="221">
        <f>[4]TU!I133+[4]TU!I146+[4]TU!I154</f>
        <v>0</v>
      </c>
      <c r="J134" s="226">
        <f>[4]TU!J133+[4]TU!J146+[4]TU!J154</f>
        <v>0</v>
      </c>
      <c r="K134" s="226">
        <f>[4]TU!K133+[4]TU!K146+[4]TU!K154</f>
        <v>0</v>
      </c>
      <c r="L134" s="221">
        <f t="shared" si="19"/>
        <v>0.59999999997671694</v>
      </c>
      <c r="M134" s="221">
        <f t="shared" si="18"/>
        <v>0</v>
      </c>
      <c r="N134" s="221">
        <v>122671.07</v>
      </c>
      <c r="O134" s="221">
        <v>45060</v>
      </c>
    </row>
    <row r="135" spans="2:15" x14ac:dyDescent="0.25">
      <c r="B135" s="184" t="s">
        <v>212</v>
      </c>
      <c r="C135" s="212">
        <v>418000</v>
      </c>
      <c r="D135" s="213"/>
      <c r="E135" s="213"/>
      <c r="F135" s="221">
        <f>13371.5+295046.47+23808.8</f>
        <v>332226.76999999996</v>
      </c>
      <c r="G135" s="222">
        <v>85773.230000000025</v>
      </c>
      <c r="H135" s="223">
        <v>76509.91</v>
      </c>
      <c r="I135" s="221">
        <f>[4]UB!I105</f>
        <v>0</v>
      </c>
      <c r="J135" s="226">
        <f>[4]UB!J105</f>
        <v>0</v>
      </c>
      <c r="K135" s="226">
        <f>[4]UB!K105</f>
        <v>0</v>
      </c>
      <c r="L135" s="221">
        <f t="shared" si="19"/>
        <v>9263.3200000000215</v>
      </c>
      <c r="M135" s="221">
        <f t="shared" si="18"/>
        <v>76509.91</v>
      </c>
      <c r="N135" s="221">
        <v>0</v>
      </c>
      <c r="O135" s="221">
        <v>0</v>
      </c>
    </row>
    <row r="136" spans="2:15" x14ac:dyDescent="0.25">
      <c r="B136" s="248" t="s">
        <v>216</v>
      </c>
      <c r="C136" s="212">
        <v>463000</v>
      </c>
      <c r="D136" s="194"/>
      <c r="E136" s="221">
        <f>8697.6+177641.14+50128.27+162025.87+2318.6+2348.4+847+80.78+16856.95+4079.92+81129.75+3352.47+311231.58-130000+5410.7+0.44+569.73+0.7-88000-200000-315000-228000</f>
        <v>-134280.10000000009</v>
      </c>
      <c r="F136" s="221"/>
      <c r="G136" s="222">
        <v>328719.89999999991</v>
      </c>
      <c r="H136" s="223">
        <v>0</v>
      </c>
      <c r="I136" s="221"/>
      <c r="J136" s="226"/>
      <c r="K136" s="226"/>
      <c r="L136" s="221">
        <f t="shared" si="19"/>
        <v>328719.89999999991</v>
      </c>
      <c r="M136" s="221">
        <f t="shared" si="18"/>
        <v>0</v>
      </c>
      <c r="N136" s="221">
        <v>0</v>
      </c>
      <c r="O136" s="221"/>
    </row>
    <row r="137" spans="2:15" x14ac:dyDescent="0.25">
      <c r="B137" s="184" t="s">
        <v>251</v>
      </c>
      <c r="C137" s="212"/>
      <c r="D137" s="184"/>
      <c r="E137" s="221">
        <v>130000</v>
      </c>
      <c r="F137" s="221"/>
      <c r="G137" s="222">
        <v>130000</v>
      </c>
      <c r="H137" s="223">
        <v>0</v>
      </c>
      <c r="I137" s="221">
        <v>0</v>
      </c>
      <c r="J137" s="226">
        <f>[4]UMCP!J7</f>
        <v>0</v>
      </c>
      <c r="K137" s="226">
        <f>[4]UMCP!K7</f>
        <v>0</v>
      </c>
      <c r="L137" s="221">
        <f t="shared" si="19"/>
        <v>130000</v>
      </c>
      <c r="M137" s="221">
        <f t="shared" si="18"/>
        <v>0</v>
      </c>
      <c r="N137" s="221">
        <v>0</v>
      </c>
      <c r="O137" s="221">
        <v>0</v>
      </c>
    </row>
    <row r="138" spans="2:15" x14ac:dyDescent="0.25">
      <c r="B138" s="184" t="s">
        <v>252</v>
      </c>
      <c r="C138" s="212"/>
      <c r="D138" s="184"/>
      <c r="E138" s="221">
        <v>88000</v>
      </c>
      <c r="F138" s="221"/>
      <c r="G138" s="222">
        <v>88000</v>
      </c>
      <c r="H138" s="223">
        <v>0</v>
      </c>
      <c r="I138" s="221"/>
      <c r="J138" s="226"/>
      <c r="K138" s="226"/>
      <c r="L138" s="221">
        <f t="shared" si="19"/>
        <v>88000</v>
      </c>
      <c r="M138" s="221">
        <f t="shared" si="18"/>
        <v>0</v>
      </c>
      <c r="N138" s="221">
        <v>0</v>
      </c>
      <c r="O138" s="221">
        <v>0</v>
      </c>
    </row>
    <row r="139" spans="2:15" x14ac:dyDescent="0.25">
      <c r="B139" s="249" t="s">
        <v>253</v>
      </c>
      <c r="C139" s="212"/>
      <c r="D139" s="184"/>
      <c r="E139" s="221">
        <v>200000</v>
      </c>
      <c r="F139" s="221"/>
      <c r="G139" s="222">
        <v>200000</v>
      </c>
      <c r="H139" s="223">
        <v>200000</v>
      </c>
      <c r="I139" s="221"/>
      <c r="J139" s="226"/>
      <c r="K139" s="226"/>
      <c r="L139" s="221">
        <f t="shared" si="19"/>
        <v>0</v>
      </c>
      <c r="M139" s="221">
        <f t="shared" si="18"/>
        <v>200000</v>
      </c>
      <c r="N139" s="221">
        <v>0</v>
      </c>
      <c r="O139" s="221">
        <v>0</v>
      </c>
    </row>
    <row r="140" spans="2:15" x14ac:dyDescent="0.25">
      <c r="B140" s="249" t="s">
        <v>254</v>
      </c>
      <c r="C140" s="212"/>
      <c r="D140" s="184"/>
      <c r="E140" s="221">
        <v>315000</v>
      </c>
      <c r="F140" s="221"/>
      <c r="G140" s="222">
        <v>315000</v>
      </c>
      <c r="H140" s="223">
        <v>0</v>
      </c>
      <c r="I140" s="221"/>
      <c r="J140" s="226"/>
      <c r="K140" s="226"/>
      <c r="L140" s="221">
        <f t="shared" si="19"/>
        <v>315000</v>
      </c>
      <c r="M140" s="221">
        <f t="shared" si="18"/>
        <v>0</v>
      </c>
      <c r="N140" s="221">
        <v>0</v>
      </c>
      <c r="O140" s="221"/>
    </row>
    <row r="141" spans="2:15" x14ac:dyDescent="0.25">
      <c r="B141" s="249" t="s">
        <v>503</v>
      </c>
      <c r="C141" s="212"/>
      <c r="D141" s="184"/>
      <c r="E141" s="221">
        <v>228000</v>
      </c>
      <c r="F141" s="221"/>
      <c r="G141" s="222">
        <v>228000</v>
      </c>
      <c r="H141" s="223">
        <v>0</v>
      </c>
      <c r="I141" s="221"/>
      <c r="J141" s="226"/>
      <c r="K141" s="226"/>
      <c r="L141" s="221">
        <f t="shared" si="19"/>
        <v>228000</v>
      </c>
      <c r="M141" s="221">
        <f t="shared" si="18"/>
        <v>0</v>
      </c>
      <c r="N141" s="221"/>
      <c r="O141" s="221"/>
    </row>
    <row r="142" spans="2:15" x14ac:dyDescent="0.25">
      <c r="C142" s="212"/>
      <c r="D142" s="213"/>
      <c r="E142" s="213"/>
      <c r="F142" s="221"/>
      <c r="G142" s="215"/>
      <c r="H142" s="216"/>
      <c r="I142" s="213"/>
      <c r="J142" s="217"/>
      <c r="K142" s="217"/>
      <c r="L142" s="213"/>
      <c r="M142" s="213"/>
      <c r="N142" s="213"/>
      <c r="O142" s="213"/>
    </row>
    <row r="143" spans="2:15" ht="13.8" thickBot="1" x14ac:dyDescent="0.3">
      <c r="B143" s="227" t="s">
        <v>255</v>
      </c>
      <c r="C143" s="228">
        <f t="shared" ref="C143:O143" si="20">SUM(C122:C142)</f>
        <v>24000000</v>
      </c>
      <c r="D143" s="228">
        <f t="shared" si="20"/>
        <v>0</v>
      </c>
      <c r="E143" s="228">
        <f t="shared" si="20"/>
        <v>826719.89999999991</v>
      </c>
      <c r="F143" s="228">
        <f t="shared" si="20"/>
        <v>18081550.849999998</v>
      </c>
      <c r="G143" s="228">
        <f t="shared" si="20"/>
        <v>6745169.0499999989</v>
      </c>
      <c r="H143" s="228">
        <f t="shared" si="20"/>
        <v>2586190.4700000002</v>
      </c>
      <c r="I143" s="228">
        <f t="shared" si="20"/>
        <v>0</v>
      </c>
      <c r="J143" s="228">
        <f t="shared" si="20"/>
        <v>0</v>
      </c>
      <c r="K143" s="228">
        <f>SUM(K122:K142)</f>
        <v>0</v>
      </c>
      <c r="L143" s="228">
        <f t="shared" si="20"/>
        <v>4158978.5799999996</v>
      </c>
      <c r="M143" s="228">
        <f t="shared" si="20"/>
        <v>503436.02</v>
      </c>
      <c r="N143" s="228">
        <f t="shared" si="20"/>
        <v>1177928.6500000001</v>
      </c>
      <c r="O143" s="228">
        <f t="shared" si="20"/>
        <v>904825.79999999993</v>
      </c>
    </row>
    <row r="144" spans="2:15" ht="13.8" thickTop="1" x14ac:dyDescent="0.25">
      <c r="B144" s="224"/>
      <c r="C144" s="212"/>
      <c r="D144" s="212"/>
      <c r="E144" s="212"/>
      <c r="F144" s="212"/>
      <c r="G144" s="212"/>
      <c r="H144" s="212"/>
      <c r="I144" s="212"/>
      <c r="J144" s="212"/>
      <c r="K144" s="212"/>
      <c r="L144" s="212"/>
      <c r="M144" s="212"/>
      <c r="N144" s="212"/>
      <c r="O144" s="212"/>
    </row>
    <row r="145" spans="1:15" x14ac:dyDescent="0.25">
      <c r="A145" s="224" t="s">
        <v>256</v>
      </c>
      <c r="C145" s="212"/>
      <c r="D145" s="213"/>
      <c r="E145" s="213"/>
      <c r="F145" s="221"/>
      <c r="G145" s="222"/>
      <c r="H145" s="223"/>
      <c r="I145" s="222"/>
      <c r="J145" s="222"/>
      <c r="K145" s="222"/>
      <c r="L145" s="221"/>
      <c r="M145" s="221"/>
      <c r="N145" s="221"/>
      <c r="O145" s="221"/>
    </row>
    <row r="146" spans="1:15" hidden="1" x14ac:dyDescent="0.25">
      <c r="B146" s="184" t="s">
        <v>257</v>
      </c>
      <c r="C146" s="212">
        <v>5000000</v>
      </c>
      <c r="D146" s="213"/>
      <c r="E146" s="213"/>
      <c r="F146" s="222">
        <v>5000000</v>
      </c>
      <c r="G146" s="222">
        <v>0</v>
      </c>
      <c r="H146" s="223">
        <v>0</v>
      </c>
      <c r="I146" s="221">
        <v>0</v>
      </c>
      <c r="J146" s="226">
        <v>0</v>
      </c>
      <c r="K146" s="226">
        <v>0</v>
      </c>
      <c r="L146" s="221">
        <f>G146-H146-I146-J146-K146</f>
        <v>0</v>
      </c>
      <c r="M146" s="221"/>
      <c r="N146" s="221"/>
      <c r="O146" s="221">
        <f>H144+K144</f>
        <v>0</v>
      </c>
    </row>
    <row r="147" spans="1:15" hidden="1" x14ac:dyDescent="0.25">
      <c r="B147" s="184" t="s">
        <v>258</v>
      </c>
      <c r="C147" s="212">
        <v>10000000</v>
      </c>
      <c r="D147" s="213"/>
      <c r="E147" s="213"/>
      <c r="F147" s="222">
        <f>317972.61+9676071.5+5955.89</f>
        <v>10000000</v>
      </c>
      <c r="G147" s="222">
        <v>0</v>
      </c>
      <c r="H147" s="223">
        <v>0</v>
      </c>
      <c r="I147" s="221">
        <v>0</v>
      </c>
      <c r="J147" s="226">
        <v>0</v>
      </c>
      <c r="K147" s="226">
        <v>0</v>
      </c>
      <c r="L147" s="221">
        <f>G147-H147-I147-J147-K147</f>
        <v>0</v>
      </c>
      <c r="M147" s="221"/>
      <c r="N147" s="221"/>
      <c r="O147" s="221">
        <f>H145+K145</f>
        <v>0</v>
      </c>
    </row>
    <row r="148" spans="1:15" x14ac:dyDescent="0.25">
      <c r="B148" s="224" t="s">
        <v>201</v>
      </c>
      <c r="C148" s="212"/>
      <c r="D148" s="213"/>
      <c r="E148" s="213"/>
      <c r="F148" s="222"/>
      <c r="G148" s="222"/>
      <c r="H148" s="223"/>
      <c r="I148" s="221"/>
      <c r="J148" s="226"/>
      <c r="K148" s="226"/>
      <c r="L148" s="221"/>
      <c r="M148" s="221"/>
      <c r="N148" s="221"/>
      <c r="O148" s="221"/>
    </row>
    <row r="149" spans="1:15" hidden="1" x14ac:dyDescent="0.25">
      <c r="B149" s="184" t="s">
        <v>202</v>
      </c>
      <c r="C149" s="212">
        <v>7300000</v>
      </c>
      <c r="D149" s="213"/>
      <c r="E149" s="213"/>
      <c r="F149" s="222">
        <f>2171056.95+5128943.05</f>
        <v>7300000</v>
      </c>
      <c r="G149" s="222">
        <v>0</v>
      </c>
      <c r="H149" s="223">
        <v>0</v>
      </c>
      <c r="I149" s="221">
        <v>0</v>
      </c>
      <c r="J149" s="226">
        <v>0</v>
      </c>
      <c r="K149" s="226">
        <v>0</v>
      </c>
      <c r="L149" s="221">
        <f t="shared" ref="L149:L161" si="21">G149-H149-I149-J149-K149</f>
        <v>0</v>
      </c>
      <c r="M149" s="221"/>
      <c r="N149" s="221"/>
      <c r="O149" s="221">
        <f>H147+K147</f>
        <v>0</v>
      </c>
    </row>
    <row r="150" spans="1:15" x14ac:dyDescent="0.25">
      <c r="B150" s="184" t="s">
        <v>203</v>
      </c>
      <c r="C150" s="212">
        <v>2675000</v>
      </c>
      <c r="D150" s="213"/>
      <c r="E150" s="213"/>
      <c r="F150" s="221">
        <f>36926.03+655774.19+47446</f>
        <v>740146.22</v>
      </c>
      <c r="G150" s="222">
        <v>1934853.7800000003</v>
      </c>
      <c r="H150" s="223">
        <v>1415819.2899999998</v>
      </c>
      <c r="I150" s="221">
        <f>[4]UMB!I222</f>
        <v>0</v>
      </c>
      <c r="J150" s="226">
        <f>[4]UMB!J222</f>
        <v>0</v>
      </c>
      <c r="K150" s="226">
        <f>[4]UMB!K222</f>
        <v>0</v>
      </c>
      <c r="L150" s="221">
        <f t="shared" si="21"/>
        <v>519034.49000000046</v>
      </c>
      <c r="M150" s="221">
        <f t="shared" ref="M150:M161" si="22">H150-N150-O150</f>
        <v>470506.7699999999</v>
      </c>
      <c r="N150" s="221">
        <v>419725.30999999994</v>
      </c>
      <c r="O150" s="221">
        <v>525587.21</v>
      </c>
    </row>
    <row r="151" spans="1:15" x14ac:dyDescent="0.25">
      <c r="B151" s="184" t="s">
        <v>204</v>
      </c>
      <c r="C151" s="212">
        <v>642000</v>
      </c>
      <c r="D151" s="213"/>
      <c r="E151" s="213"/>
      <c r="F151" s="221">
        <f>71845.71+290497.77</f>
        <v>362343.48000000004</v>
      </c>
      <c r="G151" s="222">
        <v>279656.52</v>
      </c>
      <c r="H151" s="223">
        <v>1473.29</v>
      </c>
      <c r="I151" s="221">
        <f>[4]UMES!I128</f>
        <v>0</v>
      </c>
      <c r="J151" s="226">
        <f>[4]UMES!J128</f>
        <v>0</v>
      </c>
      <c r="K151" s="226">
        <f>[4]UMES!K128</f>
        <v>0</v>
      </c>
      <c r="L151" s="221">
        <f t="shared" si="21"/>
        <v>278183.23000000004</v>
      </c>
      <c r="M151" s="221">
        <f t="shared" si="22"/>
        <v>0</v>
      </c>
      <c r="N151" s="221">
        <v>0</v>
      </c>
      <c r="O151" s="221">
        <v>1473.29</v>
      </c>
    </row>
    <row r="152" spans="1:15" hidden="1" x14ac:dyDescent="0.25">
      <c r="B152" s="184" t="s">
        <v>205</v>
      </c>
      <c r="C152" s="212">
        <v>1452000</v>
      </c>
      <c r="D152" s="213"/>
      <c r="E152" s="213"/>
      <c r="F152" s="221">
        <f>1452000</f>
        <v>1452000</v>
      </c>
      <c r="G152" s="222">
        <v>0</v>
      </c>
      <c r="H152" s="223">
        <v>0</v>
      </c>
      <c r="I152" s="221">
        <v>0</v>
      </c>
      <c r="J152" s="226">
        <v>0</v>
      </c>
      <c r="K152" s="226">
        <v>0</v>
      </c>
      <c r="L152" s="221">
        <f t="shared" si="21"/>
        <v>0</v>
      </c>
      <c r="M152" s="221">
        <f t="shared" si="22"/>
        <v>0</v>
      </c>
      <c r="N152" s="221">
        <v>0</v>
      </c>
      <c r="O152" s="221">
        <f>H152+I152+J152+K152</f>
        <v>0</v>
      </c>
    </row>
    <row r="153" spans="1:15" hidden="1" x14ac:dyDescent="0.25">
      <c r="B153" s="184" t="s">
        <v>206</v>
      </c>
      <c r="C153" s="212">
        <v>317000</v>
      </c>
      <c r="D153" s="213"/>
      <c r="E153" s="213"/>
      <c r="F153" s="221">
        <v>317000</v>
      </c>
      <c r="G153" s="222">
        <v>0</v>
      </c>
      <c r="H153" s="223">
        <v>0</v>
      </c>
      <c r="I153" s="221">
        <v>0</v>
      </c>
      <c r="J153" s="226">
        <v>0</v>
      </c>
      <c r="K153" s="226">
        <v>0</v>
      </c>
      <c r="L153" s="221">
        <f t="shared" si="21"/>
        <v>0</v>
      </c>
      <c r="M153" s="221">
        <f t="shared" si="22"/>
        <v>0</v>
      </c>
      <c r="N153" s="221">
        <v>0</v>
      </c>
      <c r="O153" s="221">
        <f>H153+I153+J153+K153</f>
        <v>0</v>
      </c>
    </row>
    <row r="154" spans="1:15" x14ac:dyDescent="0.25">
      <c r="B154" s="184" t="s">
        <v>207</v>
      </c>
      <c r="C154" s="212">
        <v>554000</v>
      </c>
      <c r="D154" s="213"/>
      <c r="E154" s="213"/>
      <c r="F154" s="221">
        <f>159826.61+42301.37</f>
        <v>202127.97999999998</v>
      </c>
      <c r="G154" s="222">
        <v>351872.02</v>
      </c>
      <c r="H154" s="223">
        <v>351872.02</v>
      </c>
      <c r="I154" s="221">
        <f>[4]BSU!I80</f>
        <v>0</v>
      </c>
      <c r="J154" s="226">
        <f>[4]BSU!J80</f>
        <v>0</v>
      </c>
      <c r="K154" s="226">
        <f>[4]BSU!K80</f>
        <v>0</v>
      </c>
      <c r="L154" s="221">
        <f t="shared" si="21"/>
        <v>0</v>
      </c>
      <c r="M154" s="221">
        <f t="shared" si="22"/>
        <v>0</v>
      </c>
      <c r="N154" s="221">
        <v>78023.910000000033</v>
      </c>
      <c r="O154" s="221">
        <v>273848.11</v>
      </c>
    </row>
    <row r="155" spans="1:15" hidden="1" x14ac:dyDescent="0.25">
      <c r="B155" s="184" t="s">
        <v>208</v>
      </c>
      <c r="C155" s="212">
        <v>409000</v>
      </c>
      <c r="D155" s="213"/>
      <c r="E155" s="213"/>
      <c r="F155" s="221">
        <f>274238.46+134761.54</f>
        <v>409000</v>
      </c>
      <c r="G155" s="222">
        <v>0</v>
      </c>
      <c r="H155" s="223">
        <v>0</v>
      </c>
      <c r="I155" s="221">
        <v>0</v>
      </c>
      <c r="J155" s="226">
        <v>0</v>
      </c>
      <c r="K155" s="226">
        <v>0</v>
      </c>
      <c r="L155" s="221">
        <f t="shared" si="21"/>
        <v>0</v>
      </c>
      <c r="M155" s="221">
        <f t="shared" si="22"/>
        <v>0</v>
      </c>
      <c r="N155" s="221">
        <v>0</v>
      </c>
      <c r="O155" s="221">
        <f>H155+I155+J155+K155</f>
        <v>0</v>
      </c>
    </row>
    <row r="156" spans="1:15" x14ac:dyDescent="0.25">
      <c r="B156" s="184" t="s">
        <v>209</v>
      </c>
      <c r="C156" s="212">
        <v>645000</v>
      </c>
      <c r="D156" s="213"/>
      <c r="E156" s="213"/>
      <c r="F156" s="221">
        <f>611741.64</f>
        <v>611741.64</v>
      </c>
      <c r="G156" s="222">
        <v>33258.359999999986</v>
      </c>
      <c r="H156" s="223">
        <v>33258.36</v>
      </c>
      <c r="I156" s="221">
        <f>[4]FSU!I136</f>
        <v>0</v>
      </c>
      <c r="J156" s="226">
        <f>[4]FSU!J136</f>
        <v>0</v>
      </c>
      <c r="K156" s="226">
        <f>[4]FSU!K136</f>
        <v>0</v>
      </c>
      <c r="L156" s="221">
        <f t="shared" si="21"/>
        <v>-1.4551915228366852E-11</v>
      </c>
      <c r="M156" s="221">
        <f t="shared" si="22"/>
        <v>0</v>
      </c>
      <c r="N156" s="221">
        <v>0</v>
      </c>
      <c r="O156" s="221">
        <v>33258.36</v>
      </c>
    </row>
    <row r="157" spans="1:15" hidden="1" x14ac:dyDescent="0.25">
      <c r="B157" s="184" t="s">
        <v>226</v>
      </c>
      <c r="C157" s="212">
        <v>536000</v>
      </c>
      <c r="D157" s="213"/>
      <c r="E157" s="213"/>
      <c r="F157" s="221">
        <f>536000</f>
        <v>536000</v>
      </c>
      <c r="G157" s="222">
        <v>0</v>
      </c>
      <c r="H157" s="223">
        <v>0</v>
      </c>
      <c r="I157" s="221">
        <v>0</v>
      </c>
      <c r="J157" s="226">
        <v>0</v>
      </c>
      <c r="K157" s="226">
        <v>0</v>
      </c>
      <c r="L157" s="221">
        <f t="shared" si="21"/>
        <v>0</v>
      </c>
      <c r="M157" s="221">
        <f t="shared" si="22"/>
        <v>0</v>
      </c>
      <c r="N157" s="221">
        <v>0</v>
      </c>
      <c r="O157" s="221">
        <f>H157+I157+J157+K157</f>
        <v>0</v>
      </c>
    </row>
    <row r="158" spans="1:15" x14ac:dyDescent="0.25">
      <c r="B158" s="184" t="s">
        <v>211</v>
      </c>
      <c r="C158" s="212">
        <v>1589000</v>
      </c>
      <c r="D158" s="213"/>
      <c r="E158" s="213"/>
      <c r="F158" s="221">
        <f>32706.17+518001.39+20198.17+550000+377628.95+53455.07+7915.98</f>
        <v>1559905.73</v>
      </c>
      <c r="G158" s="222">
        <v>29094.266999999938</v>
      </c>
      <c r="H158" s="223">
        <v>29094.27</v>
      </c>
      <c r="I158" s="221">
        <f>[4]TU!I169+[4]TU!I175+[4]TU!I183</f>
        <v>0</v>
      </c>
      <c r="J158" s="226">
        <f>[4]TU!J169+[4]TU!J175+[4]TU!J183</f>
        <v>0</v>
      </c>
      <c r="K158" s="226">
        <f>[4]TU!K169+[4]TU!K175+[4]TU!K183</f>
        <v>0</v>
      </c>
      <c r="L158" s="221">
        <f t="shared" si="21"/>
        <v>-3.0000000624568202E-3</v>
      </c>
      <c r="M158" s="221">
        <f t="shared" si="22"/>
        <v>0</v>
      </c>
      <c r="N158" s="221">
        <v>12726.4</v>
      </c>
      <c r="O158" s="221">
        <v>16367.87</v>
      </c>
    </row>
    <row r="159" spans="1:15" x14ac:dyDescent="0.25">
      <c r="B159" s="184" t="s">
        <v>212</v>
      </c>
      <c r="C159" s="212">
        <v>418000</v>
      </c>
      <c r="D159" s="213"/>
      <c r="E159" s="213"/>
      <c r="F159" s="221">
        <f>2748.75+81771.25+15400</f>
        <v>99920</v>
      </c>
      <c r="G159" s="222">
        <v>318080</v>
      </c>
      <c r="H159" s="223">
        <v>275132.16000000003</v>
      </c>
      <c r="I159" s="221">
        <f>[4]UB!I128</f>
        <v>0</v>
      </c>
      <c r="J159" s="226">
        <f>[4]UB!J128</f>
        <v>0</v>
      </c>
      <c r="K159" s="226">
        <f>[4]UB!K128</f>
        <v>0</v>
      </c>
      <c r="L159" s="221">
        <f t="shared" si="21"/>
        <v>42947.839999999967</v>
      </c>
      <c r="M159" s="221">
        <f t="shared" si="22"/>
        <v>95520.620000000024</v>
      </c>
      <c r="N159" s="221">
        <v>143676</v>
      </c>
      <c r="O159" s="221">
        <v>35935.54</v>
      </c>
    </row>
    <row r="160" spans="1:15" x14ac:dyDescent="0.25">
      <c r="B160" s="224" t="s">
        <v>216</v>
      </c>
      <c r="C160" s="212">
        <v>463000</v>
      </c>
      <c r="D160" s="221"/>
      <c r="E160" s="221">
        <f>24627.14-200000-287627.14</f>
        <v>-463000</v>
      </c>
      <c r="F160" s="221"/>
      <c r="G160" s="222">
        <v>0</v>
      </c>
      <c r="H160" s="223"/>
      <c r="I160" s="221"/>
      <c r="J160" s="226"/>
      <c r="K160" s="226"/>
      <c r="L160" s="221"/>
      <c r="M160" s="221">
        <f t="shared" si="22"/>
        <v>0</v>
      </c>
      <c r="N160" s="221"/>
      <c r="O160" s="221"/>
    </row>
    <row r="161" spans="1:15" x14ac:dyDescent="0.25">
      <c r="B161" s="184" t="s">
        <v>259</v>
      </c>
      <c r="C161" s="212"/>
      <c r="D161" s="213"/>
      <c r="E161" s="221">
        <v>200000</v>
      </c>
      <c r="F161" s="221">
        <f>50289.6+58406.01</f>
        <v>108695.61</v>
      </c>
      <c r="G161" s="222">
        <v>91304.389999999985</v>
      </c>
      <c r="H161" s="223">
        <v>0</v>
      </c>
      <c r="I161" s="221">
        <f>[4]UMES!I128</f>
        <v>0</v>
      </c>
      <c r="J161" s="226">
        <f>[4]UMES!J19</f>
        <v>0</v>
      </c>
      <c r="K161" s="226">
        <f>[4]UMES!K19</f>
        <v>0</v>
      </c>
      <c r="L161" s="221">
        <f t="shared" si="21"/>
        <v>91304.389999999985</v>
      </c>
      <c r="M161" s="221">
        <f t="shared" si="22"/>
        <v>0</v>
      </c>
      <c r="N161" s="221">
        <v>0</v>
      </c>
      <c r="O161" s="221">
        <v>0</v>
      </c>
    </row>
    <row r="162" spans="1:15" x14ac:dyDescent="0.25">
      <c r="C162" s="212"/>
      <c r="D162" s="213"/>
      <c r="E162" s="213"/>
      <c r="F162" s="221"/>
      <c r="G162" s="215"/>
      <c r="H162" s="216"/>
      <c r="I162" s="213"/>
      <c r="J162" s="217"/>
      <c r="K162" s="217"/>
      <c r="L162" s="213"/>
      <c r="M162" s="213"/>
      <c r="N162" s="213"/>
      <c r="O162" s="213"/>
    </row>
    <row r="163" spans="1:15" ht="13.8" thickBot="1" x14ac:dyDescent="0.3">
      <c r="B163" s="227" t="s">
        <v>260</v>
      </c>
      <c r="C163" s="228">
        <f>SUM(C146:C162)</f>
        <v>32000000</v>
      </c>
      <c r="D163" s="228">
        <f t="shared" ref="D163:O163" si="23">SUM(D146:D162)</f>
        <v>0</v>
      </c>
      <c r="E163" s="228">
        <f t="shared" si="23"/>
        <v>-263000</v>
      </c>
      <c r="F163" s="228">
        <f>SUM(F146:F162)</f>
        <v>28698880.66</v>
      </c>
      <c r="G163" s="228">
        <f t="shared" si="23"/>
        <v>3038119.3370000003</v>
      </c>
      <c r="H163" s="228">
        <f t="shared" si="23"/>
        <v>2106649.39</v>
      </c>
      <c r="I163" s="228">
        <f t="shared" si="23"/>
        <v>0</v>
      </c>
      <c r="J163" s="228">
        <f t="shared" si="23"/>
        <v>0</v>
      </c>
      <c r="K163" s="228">
        <f>SUM(K146:K162)</f>
        <v>0</v>
      </c>
      <c r="L163" s="228">
        <f t="shared" si="23"/>
        <v>931469.94700000039</v>
      </c>
      <c r="M163" s="228">
        <f t="shared" si="23"/>
        <v>566027.3899999999</v>
      </c>
      <c r="N163" s="228">
        <f t="shared" si="23"/>
        <v>654151.62</v>
      </c>
      <c r="O163" s="228">
        <f t="shared" si="23"/>
        <v>886470.38</v>
      </c>
    </row>
    <row r="164" spans="1:15" ht="13.8" thickTop="1" x14ac:dyDescent="0.25">
      <c r="C164" s="212"/>
      <c r="D164" s="213"/>
      <c r="E164" s="213"/>
      <c r="F164" s="250"/>
      <c r="G164" s="215"/>
      <c r="H164" s="216"/>
      <c r="I164" s="213"/>
      <c r="J164" s="217"/>
      <c r="K164" s="217"/>
      <c r="L164" s="213"/>
      <c r="M164" s="213"/>
      <c r="N164" s="213"/>
      <c r="O164" s="213"/>
    </row>
    <row r="165" spans="1:15" x14ac:dyDescent="0.25">
      <c r="A165" s="224" t="s">
        <v>261</v>
      </c>
      <c r="C165" s="212"/>
      <c r="D165" s="213"/>
      <c r="E165" s="213"/>
      <c r="F165" s="221"/>
      <c r="G165" s="215"/>
      <c r="H165" s="216"/>
      <c r="I165" s="215"/>
      <c r="J165" s="215"/>
      <c r="K165" s="215"/>
      <c r="L165" s="213"/>
      <c r="M165" s="213"/>
      <c r="N165" s="213"/>
      <c r="O165" s="213"/>
    </row>
    <row r="166" spans="1:15" hidden="1" x14ac:dyDescent="0.25">
      <c r="B166" s="184" t="s">
        <v>257</v>
      </c>
      <c r="C166" s="212">
        <v>7500000</v>
      </c>
      <c r="D166" s="213"/>
      <c r="E166" s="213"/>
      <c r="F166" s="221">
        <f>570673.59+3006114.55+3749577.86+173634</f>
        <v>7500000</v>
      </c>
      <c r="G166" s="222">
        <v>0</v>
      </c>
      <c r="H166" s="223">
        <v>0</v>
      </c>
      <c r="I166" s="221">
        <v>0</v>
      </c>
      <c r="J166" s="226">
        <v>0</v>
      </c>
      <c r="K166" s="226">
        <v>0</v>
      </c>
      <c r="L166" s="221">
        <f>G166-H166-I166-J166-K166</f>
        <v>0</v>
      </c>
      <c r="M166" s="221"/>
      <c r="N166" s="221"/>
      <c r="O166" s="221">
        <f>H164+K164</f>
        <v>0</v>
      </c>
    </row>
    <row r="167" spans="1:15" x14ac:dyDescent="0.25">
      <c r="B167" s="224" t="s">
        <v>201</v>
      </c>
      <c r="C167" s="212"/>
      <c r="D167" s="213"/>
      <c r="E167" s="213"/>
      <c r="F167" s="187"/>
      <c r="G167" s="215"/>
      <c r="H167" s="216"/>
      <c r="I167" s="213"/>
      <c r="J167" s="217"/>
      <c r="K167" s="217"/>
      <c r="L167" s="221"/>
      <c r="M167" s="221"/>
      <c r="N167" s="221"/>
      <c r="O167" s="221"/>
    </row>
    <row r="168" spans="1:15" x14ac:dyDescent="0.25">
      <c r="B168" s="184" t="s">
        <v>202</v>
      </c>
      <c r="C168" s="212">
        <f>300000+990000+990000+550000+990000+295000+150000+100000+510000+975000+900000+550000</f>
        <v>7300000</v>
      </c>
      <c r="D168" s="213"/>
      <c r="E168" s="213"/>
      <c r="F168" s="221">
        <f>2767576.24+680881.45+3851542.31</f>
        <v>7300000</v>
      </c>
      <c r="G168" s="222">
        <v>0</v>
      </c>
      <c r="H168" s="223">
        <v>0</v>
      </c>
      <c r="I168" s="221">
        <v>0</v>
      </c>
      <c r="J168" s="226">
        <v>0</v>
      </c>
      <c r="K168" s="226">
        <v>0</v>
      </c>
      <c r="L168" s="221">
        <f t="shared" ref="L168:L178" si="24">G168-H168-I168-J168-K168</f>
        <v>0</v>
      </c>
      <c r="M168" s="221">
        <f t="shared" ref="M168:M179" si="25">H168-N168-O168</f>
        <v>0</v>
      </c>
      <c r="N168" s="221"/>
      <c r="O168" s="221">
        <v>0</v>
      </c>
    </row>
    <row r="169" spans="1:15" x14ac:dyDescent="0.25">
      <c r="B169" s="184" t="s">
        <v>203</v>
      </c>
      <c r="C169" s="212">
        <f>990000+990000+695000</f>
        <v>2675000</v>
      </c>
      <c r="D169" s="221">
        <v>-0.02</v>
      </c>
      <c r="E169" s="213"/>
      <c r="F169" s="222">
        <f>13205.39+184961.16+174257.2+675592.72+34722.5</f>
        <v>1082738.97</v>
      </c>
      <c r="G169" s="222">
        <v>1592261.0099999995</v>
      </c>
      <c r="H169" s="223">
        <v>1575389.58</v>
      </c>
      <c r="I169" s="221">
        <f>[4]UMB!I253</f>
        <v>0</v>
      </c>
      <c r="J169" s="226">
        <f>[4]UMB!J253</f>
        <v>0</v>
      </c>
      <c r="K169" s="226">
        <f>[4]UMB!K253</f>
        <v>0</v>
      </c>
      <c r="L169" s="221">
        <f t="shared" si="24"/>
        <v>16871.429999999469</v>
      </c>
      <c r="M169" s="221">
        <f t="shared" si="25"/>
        <v>785940</v>
      </c>
      <c r="N169" s="221">
        <v>238561.30999999994</v>
      </c>
      <c r="O169" s="221">
        <v>550888.27</v>
      </c>
    </row>
    <row r="170" spans="1:15" hidden="1" x14ac:dyDescent="0.25">
      <c r="B170" s="184" t="s">
        <v>204</v>
      </c>
      <c r="C170" s="212">
        <v>642000</v>
      </c>
      <c r="D170" s="213"/>
      <c r="E170" s="213"/>
      <c r="F170" s="221">
        <f>637427.17+4572.83</f>
        <v>642000</v>
      </c>
      <c r="G170" s="222">
        <v>-4.1836756281554699E-11</v>
      </c>
      <c r="H170" s="223">
        <v>0</v>
      </c>
      <c r="I170" s="221">
        <f>[4]UMES!I136</f>
        <v>0</v>
      </c>
      <c r="J170" s="226">
        <f>[4]UMES!J136</f>
        <v>0</v>
      </c>
      <c r="K170" s="226">
        <f>[4]UMES!K136</f>
        <v>0</v>
      </c>
      <c r="L170" s="221">
        <f t="shared" si="24"/>
        <v>-4.1836756281554699E-11</v>
      </c>
      <c r="M170" s="221">
        <f t="shared" si="25"/>
        <v>0</v>
      </c>
      <c r="N170" s="221">
        <v>0</v>
      </c>
      <c r="O170" s="221">
        <f>H170+I170+J170+K170</f>
        <v>0</v>
      </c>
    </row>
    <row r="171" spans="1:15" hidden="1" x14ac:dyDescent="0.25">
      <c r="B171" s="184" t="s">
        <v>205</v>
      </c>
      <c r="C171" s="212">
        <v>1452000</v>
      </c>
      <c r="D171" s="213"/>
      <c r="E171" s="213"/>
      <c r="F171" s="221">
        <f>371294.08+1056822.47+23883.45</f>
        <v>1452000</v>
      </c>
      <c r="G171" s="222">
        <v>0</v>
      </c>
      <c r="H171" s="223">
        <v>0</v>
      </c>
      <c r="I171" s="221">
        <v>0</v>
      </c>
      <c r="J171" s="226">
        <v>0</v>
      </c>
      <c r="K171" s="226">
        <v>0</v>
      </c>
      <c r="L171" s="221">
        <f t="shared" si="24"/>
        <v>0</v>
      </c>
      <c r="M171" s="221">
        <f t="shared" si="25"/>
        <v>0</v>
      </c>
      <c r="N171" s="221">
        <v>0</v>
      </c>
      <c r="O171" s="221">
        <f>H171+I171+J171+K171</f>
        <v>0</v>
      </c>
    </row>
    <row r="172" spans="1:15" hidden="1" x14ac:dyDescent="0.25">
      <c r="B172" s="184" t="s">
        <v>206</v>
      </c>
      <c r="C172" s="212">
        <v>317000</v>
      </c>
      <c r="D172" s="213"/>
      <c r="E172" s="213"/>
      <c r="F172" s="221">
        <f>2937.02+314062.98</f>
        <v>317000</v>
      </c>
      <c r="G172" s="222">
        <v>0</v>
      </c>
      <c r="H172" s="223">
        <v>0</v>
      </c>
      <c r="I172" s="221">
        <v>0</v>
      </c>
      <c r="J172" s="226">
        <v>0</v>
      </c>
      <c r="K172" s="226">
        <v>0</v>
      </c>
      <c r="L172" s="221">
        <f t="shared" si="24"/>
        <v>0</v>
      </c>
      <c r="M172" s="221">
        <f t="shared" si="25"/>
        <v>0</v>
      </c>
      <c r="N172" s="221">
        <v>0</v>
      </c>
      <c r="O172" s="221">
        <f>H172+I172+J172+K172</f>
        <v>0</v>
      </c>
    </row>
    <row r="173" spans="1:15" x14ac:dyDescent="0.25">
      <c r="B173" s="184" t="s">
        <v>207</v>
      </c>
      <c r="C173" s="212">
        <f>400000+154000</f>
        <v>554000</v>
      </c>
      <c r="D173" s="213"/>
      <c r="E173" s="213"/>
      <c r="F173" s="222">
        <f>28173+78156.58+373685.53</f>
        <v>480015.11000000004</v>
      </c>
      <c r="G173" s="222">
        <v>73984.890000000014</v>
      </c>
      <c r="H173" s="223">
        <v>73984.89</v>
      </c>
      <c r="I173" s="221">
        <f>[4]BSU!I92</f>
        <v>0</v>
      </c>
      <c r="J173" s="226">
        <f>[4]BSU!J92</f>
        <v>0</v>
      </c>
      <c r="K173" s="226">
        <f>[4]BSU!K92</f>
        <v>0</v>
      </c>
      <c r="L173" s="221">
        <f t="shared" si="24"/>
        <v>1.4551915228366852E-11</v>
      </c>
      <c r="M173" s="221">
        <f t="shared" si="25"/>
        <v>0</v>
      </c>
      <c r="N173" s="221">
        <v>0</v>
      </c>
      <c r="O173" s="221">
        <v>73984.89</v>
      </c>
    </row>
    <row r="174" spans="1:15" x14ac:dyDescent="0.25">
      <c r="B174" s="184" t="s">
        <v>208</v>
      </c>
      <c r="C174" s="212">
        <f>50000+150000+109000</f>
        <v>309000</v>
      </c>
      <c r="D174" s="213"/>
      <c r="E174" s="213"/>
      <c r="F174" s="221">
        <f>309000</f>
        <v>309000</v>
      </c>
      <c r="G174" s="222">
        <v>0</v>
      </c>
      <c r="H174" s="223">
        <v>0</v>
      </c>
      <c r="I174" s="221">
        <v>0</v>
      </c>
      <c r="J174" s="226">
        <v>0</v>
      </c>
      <c r="K174" s="226">
        <v>0</v>
      </c>
      <c r="L174" s="221">
        <f t="shared" si="24"/>
        <v>0</v>
      </c>
      <c r="M174" s="221">
        <f t="shared" si="25"/>
        <v>0</v>
      </c>
      <c r="N174" s="221">
        <v>0</v>
      </c>
      <c r="O174" s="221">
        <v>0</v>
      </c>
    </row>
    <row r="175" spans="1:15" x14ac:dyDescent="0.25">
      <c r="B175" s="184" t="s">
        <v>209</v>
      </c>
      <c r="C175" s="212">
        <f>96974+51974+496052</f>
        <v>645000</v>
      </c>
      <c r="D175" s="213"/>
      <c r="E175" s="213"/>
      <c r="F175" s="222">
        <f>499480.88+49097+52268</f>
        <v>600845.88</v>
      </c>
      <c r="G175" s="222">
        <v>44154.119999999995</v>
      </c>
      <c r="H175" s="223">
        <v>44154.12</v>
      </c>
      <c r="I175" s="221">
        <f>[4]FSU!I149</f>
        <v>0</v>
      </c>
      <c r="J175" s="226">
        <f>[4]FSU!J149</f>
        <v>0</v>
      </c>
      <c r="K175" s="226">
        <f>[4]FSU!K149</f>
        <v>0</v>
      </c>
      <c r="L175" s="221">
        <f t="shared" si="24"/>
        <v>-7.2759576141834259E-12</v>
      </c>
      <c r="M175" s="221">
        <f t="shared" si="25"/>
        <v>0</v>
      </c>
      <c r="N175" s="221">
        <v>0</v>
      </c>
      <c r="O175" s="221">
        <v>44154.12</v>
      </c>
    </row>
    <row r="176" spans="1:15" x14ac:dyDescent="0.25">
      <c r="B176" s="184" t="s">
        <v>226</v>
      </c>
      <c r="C176" s="212">
        <v>536000</v>
      </c>
      <c r="D176" s="213"/>
      <c r="E176" s="213"/>
      <c r="F176" s="222">
        <f>10442.22+514492.66+11065.12</f>
        <v>536000</v>
      </c>
      <c r="G176" s="222">
        <v>0</v>
      </c>
      <c r="H176" s="223">
        <v>0</v>
      </c>
      <c r="I176" s="221">
        <v>0</v>
      </c>
      <c r="J176" s="226">
        <v>0</v>
      </c>
      <c r="K176" s="226">
        <v>0</v>
      </c>
      <c r="L176" s="221">
        <f t="shared" si="24"/>
        <v>0</v>
      </c>
      <c r="M176" s="221">
        <f t="shared" si="25"/>
        <v>0</v>
      </c>
      <c r="N176" s="221">
        <v>0</v>
      </c>
      <c r="O176" s="221">
        <v>0</v>
      </c>
    </row>
    <row r="177" spans="1:15" x14ac:dyDescent="0.25">
      <c r="B177" s="184" t="s">
        <v>211</v>
      </c>
      <c r="C177" s="212">
        <f>600000+550000+439000</f>
        <v>1589000</v>
      </c>
      <c r="D177" s="221">
        <v>-0.7</v>
      </c>
      <c r="F177" s="222">
        <f>588447.37+453769.26+513210.16</f>
        <v>1555426.79</v>
      </c>
      <c r="G177" s="222">
        <v>33572.510000000024</v>
      </c>
      <c r="H177" s="223">
        <v>33572.51</v>
      </c>
      <c r="I177" s="221">
        <v>0</v>
      </c>
      <c r="J177" s="226">
        <v>0</v>
      </c>
      <c r="K177" s="226">
        <v>0</v>
      </c>
      <c r="L177" s="221">
        <f t="shared" si="24"/>
        <v>2.1827872842550278E-11</v>
      </c>
      <c r="M177" s="221">
        <f t="shared" si="25"/>
        <v>0</v>
      </c>
      <c r="N177" s="221">
        <v>0</v>
      </c>
      <c r="O177" s="221">
        <v>33572.51</v>
      </c>
    </row>
    <row r="178" spans="1:15" x14ac:dyDescent="0.25">
      <c r="B178" s="184" t="s">
        <v>212</v>
      </c>
      <c r="C178" s="212">
        <v>418000</v>
      </c>
      <c r="D178" s="213"/>
      <c r="E178" s="213"/>
      <c r="F178" s="221">
        <f>78065+160839.77+177315+1780.23</f>
        <v>418000</v>
      </c>
      <c r="G178" s="222">
        <v>1.0459189070388675E-11</v>
      </c>
      <c r="H178" s="223">
        <v>0</v>
      </c>
      <c r="I178" s="221">
        <f>[4]UB!I137</f>
        <v>0</v>
      </c>
      <c r="J178" s="226">
        <f>[4]UB!J137</f>
        <v>0</v>
      </c>
      <c r="K178" s="226">
        <f>[4]UB!K137</f>
        <v>0</v>
      </c>
      <c r="L178" s="221">
        <f t="shared" si="24"/>
        <v>1.0459189070388675E-11</v>
      </c>
      <c r="M178" s="221">
        <f t="shared" si="25"/>
        <v>0</v>
      </c>
      <c r="N178" s="221">
        <v>0</v>
      </c>
      <c r="O178" s="221">
        <v>0</v>
      </c>
    </row>
    <row r="179" spans="1:15" x14ac:dyDescent="0.25">
      <c r="B179" s="224" t="s">
        <v>216</v>
      </c>
      <c r="C179" s="212">
        <v>563000</v>
      </c>
      <c r="D179" s="213"/>
      <c r="E179" s="221">
        <f>-563000</f>
        <v>-563000</v>
      </c>
      <c r="F179" s="221"/>
      <c r="G179" s="222">
        <v>0</v>
      </c>
      <c r="H179" s="223"/>
      <c r="I179" s="221"/>
      <c r="J179" s="226"/>
      <c r="K179" s="226"/>
      <c r="L179" s="221"/>
      <c r="M179" s="221">
        <f t="shared" si="25"/>
        <v>0</v>
      </c>
      <c r="N179" s="221"/>
      <c r="O179" s="221"/>
    </row>
    <row r="180" spans="1:15" x14ac:dyDescent="0.25">
      <c r="C180" s="212"/>
      <c r="D180" s="213"/>
      <c r="E180" s="213"/>
      <c r="F180" s="221"/>
      <c r="G180" s="215"/>
      <c r="H180" s="216"/>
      <c r="I180" s="213"/>
      <c r="J180" s="217"/>
      <c r="K180" s="217"/>
      <c r="L180" s="213"/>
      <c r="M180" s="213"/>
      <c r="N180" s="213"/>
      <c r="O180" s="213"/>
    </row>
    <row r="181" spans="1:15" ht="13.8" thickBot="1" x14ac:dyDescent="0.3">
      <c r="B181" s="227" t="s">
        <v>262</v>
      </c>
      <c r="C181" s="228">
        <f t="shared" ref="C181:K181" si="26">SUM(C166:C180)</f>
        <v>24500000</v>
      </c>
      <c r="D181" s="251">
        <f t="shared" si="26"/>
        <v>-0.72</v>
      </c>
      <c r="E181" s="251">
        <f t="shared" si="26"/>
        <v>-563000</v>
      </c>
      <c r="F181" s="251">
        <f t="shared" si="26"/>
        <v>22193026.749999996</v>
      </c>
      <c r="G181" s="251">
        <f t="shared" si="26"/>
        <v>1743972.5299999996</v>
      </c>
      <c r="H181" s="251">
        <f t="shared" si="26"/>
        <v>1727101.1</v>
      </c>
      <c r="I181" s="251">
        <f t="shared" si="26"/>
        <v>0</v>
      </c>
      <c r="J181" s="251">
        <f t="shared" si="26"/>
        <v>0</v>
      </c>
      <c r="K181" s="251">
        <f t="shared" si="26"/>
        <v>0</v>
      </c>
      <c r="L181" s="251">
        <f>SUM(L166:L180)</f>
        <v>16871.429999999466</v>
      </c>
      <c r="M181" s="251">
        <f>SUM(M166:M180)</f>
        <v>785940</v>
      </c>
      <c r="N181" s="251">
        <f>SUM(N166:N180)</f>
        <v>238561.30999999994</v>
      </c>
      <c r="O181" s="251">
        <f>SUM(O166:O180)</f>
        <v>702599.79</v>
      </c>
    </row>
    <row r="182" spans="1:15" ht="13.8" thickTop="1" x14ac:dyDescent="0.25">
      <c r="C182" s="212"/>
      <c r="D182" s="213"/>
      <c r="E182" s="213"/>
      <c r="F182" s="250"/>
      <c r="G182" s="215"/>
      <c r="H182" s="216"/>
      <c r="I182" s="213"/>
      <c r="J182" s="217"/>
      <c r="K182" s="217"/>
      <c r="L182" s="213"/>
      <c r="M182" s="213"/>
      <c r="N182" s="213"/>
      <c r="O182" s="213"/>
    </row>
    <row r="183" spans="1:15" x14ac:dyDescent="0.25">
      <c r="A183" s="224" t="s">
        <v>263</v>
      </c>
      <c r="C183" s="212"/>
      <c r="D183" s="213"/>
      <c r="E183" s="213"/>
      <c r="F183" s="221"/>
      <c r="G183" s="215"/>
      <c r="H183" s="216"/>
      <c r="I183" s="215"/>
      <c r="J183" s="215"/>
      <c r="K183" s="215"/>
      <c r="L183" s="213"/>
      <c r="M183" s="213"/>
      <c r="N183" s="213"/>
      <c r="O183" s="213"/>
    </row>
    <row r="184" spans="1:15" x14ac:dyDescent="0.25">
      <c r="B184" s="184" t="s">
        <v>264</v>
      </c>
      <c r="C184" s="212">
        <v>5000000</v>
      </c>
      <c r="D184" s="221"/>
      <c r="E184" s="221"/>
      <c r="F184" s="221">
        <f>233366.84+57065.83+3761966.02+325934.68+385895.56+235771.07</f>
        <v>5000000</v>
      </c>
      <c r="G184" s="222">
        <v>0</v>
      </c>
      <c r="H184" s="223">
        <v>0</v>
      </c>
      <c r="I184" s="221">
        <v>0</v>
      </c>
      <c r="J184" s="226">
        <v>0</v>
      </c>
      <c r="K184" s="226">
        <v>0</v>
      </c>
      <c r="L184" s="221">
        <f>G184-H184-I184-J184-K184</f>
        <v>0</v>
      </c>
      <c r="M184" s="221">
        <f>H184-N184-O184</f>
        <v>0</v>
      </c>
      <c r="N184" s="221"/>
      <c r="O184" s="221">
        <v>0</v>
      </c>
    </row>
    <row r="185" spans="1:15" x14ac:dyDescent="0.25">
      <c r="B185" s="184" t="s">
        <v>257</v>
      </c>
      <c r="C185" s="212">
        <v>20000000</v>
      </c>
      <c r="D185" s="221"/>
      <c r="E185" s="221"/>
      <c r="F185" s="221">
        <f>57764.24+19923609.95+18625.81</f>
        <v>19999999.999999996</v>
      </c>
      <c r="G185" s="222">
        <v>0</v>
      </c>
      <c r="H185" s="223">
        <v>0</v>
      </c>
      <c r="I185" s="221">
        <v>0</v>
      </c>
      <c r="J185" s="226">
        <v>0</v>
      </c>
      <c r="K185" s="226">
        <v>0</v>
      </c>
      <c r="L185" s="221">
        <f>G185-H185-I185-J185-K185</f>
        <v>0</v>
      </c>
      <c r="M185" s="221">
        <f>H185-N185-O185</f>
        <v>0</v>
      </c>
      <c r="N185" s="221"/>
      <c r="O185" s="221">
        <v>0</v>
      </c>
    </row>
    <row r="186" spans="1:15" x14ac:dyDescent="0.25">
      <c r="B186" s="184" t="s">
        <v>265</v>
      </c>
      <c r="C186" s="212">
        <v>12500000</v>
      </c>
      <c r="D186" s="221"/>
      <c r="E186" s="221"/>
      <c r="F186" s="221">
        <f>9668105.38+340252.44+1882829.88+36511.16+572301.14</f>
        <v>12500000</v>
      </c>
      <c r="G186" s="222">
        <v>0</v>
      </c>
      <c r="H186" s="223">
        <v>0</v>
      </c>
      <c r="I186" s="221">
        <v>0</v>
      </c>
      <c r="J186" s="226">
        <v>0</v>
      </c>
      <c r="K186" s="226">
        <v>0</v>
      </c>
      <c r="L186" s="221">
        <f>G186-H186-I186-J186-K186</f>
        <v>0</v>
      </c>
      <c r="M186" s="221">
        <f>H186-N186-O186</f>
        <v>0</v>
      </c>
      <c r="N186" s="221"/>
      <c r="O186" s="221">
        <v>0</v>
      </c>
    </row>
    <row r="187" spans="1:15" x14ac:dyDescent="0.25">
      <c r="B187" s="224" t="s">
        <v>201</v>
      </c>
      <c r="C187" s="212"/>
      <c r="D187" s="221"/>
      <c r="E187" s="221"/>
      <c r="F187" s="221"/>
      <c r="G187" s="222"/>
      <c r="H187" s="223"/>
      <c r="I187" s="221"/>
      <c r="J187" s="226"/>
      <c r="K187" s="226"/>
      <c r="L187" s="221"/>
      <c r="M187" s="221"/>
      <c r="N187" s="221"/>
      <c r="O187" s="221"/>
    </row>
    <row r="188" spans="1:15" x14ac:dyDescent="0.25">
      <c r="B188" s="184" t="s">
        <v>202</v>
      </c>
      <c r="C188" s="212">
        <f>300000+990000+990000+550000+990000+295000+150000+100000+510000+975000+900000+550000</f>
        <v>7300000</v>
      </c>
      <c r="D188" s="221"/>
      <c r="E188" s="221"/>
      <c r="F188" s="221">
        <f>1361945.98+5938054.02</f>
        <v>7300000</v>
      </c>
      <c r="G188" s="222">
        <v>0</v>
      </c>
      <c r="H188" s="223">
        <v>0</v>
      </c>
      <c r="I188" s="221">
        <v>0</v>
      </c>
      <c r="J188" s="226">
        <v>0</v>
      </c>
      <c r="K188" s="226">
        <v>0</v>
      </c>
      <c r="L188" s="221">
        <f t="shared" ref="L188:L200" si="27">G188-H188-I188-J188-K188</f>
        <v>0</v>
      </c>
      <c r="M188" s="221">
        <f t="shared" ref="M188:M201" si="28">H188-N188-O188</f>
        <v>0</v>
      </c>
      <c r="N188" s="221"/>
      <c r="O188" s="221">
        <v>0</v>
      </c>
    </row>
    <row r="189" spans="1:15" x14ac:dyDescent="0.25">
      <c r="B189" s="184" t="s">
        <v>203</v>
      </c>
      <c r="C189" s="212">
        <f>990000+990000+695000</f>
        <v>2675000</v>
      </c>
      <c r="D189" s="221">
        <v>0.02</v>
      </c>
      <c r="E189" s="221"/>
      <c r="F189" s="221">
        <f>889486.9+1052436.18+89262.15+515004.4+39277.38</f>
        <v>2585467.0099999998</v>
      </c>
      <c r="G189" s="222">
        <v>89533.010000000111</v>
      </c>
      <c r="H189" s="223">
        <v>89533.01</v>
      </c>
      <c r="I189" s="221">
        <f>[4]UMB!I270</f>
        <v>0</v>
      </c>
      <c r="J189" s="226">
        <f>[4]UMB!J270</f>
        <v>0</v>
      </c>
      <c r="K189" s="226">
        <f>[4]UMB!K270</f>
        <v>0</v>
      </c>
      <c r="L189" s="221">
        <f t="shared" si="27"/>
        <v>1.1641532182693481E-10</v>
      </c>
      <c r="M189" s="221">
        <f t="shared" si="28"/>
        <v>0</v>
      </c>
      <c r="N189" s="221">
        <v>0</v>
      </c>
      <c r="O189" s="221">
        <v>89533.01</v>
      </c>
    </row>
    <row r="190" spans="1:15" x14ac:dyDescent="0.25">
      <c r="B190" s="184" t="s">
        <v>204</v>
      </c>
      <c r="C190" s="212">
        <v>642000</v>
      </c>
      <c r="D190" s="221"/>
      <c r="E190" s="221"/>
      <c r="F190" s="222">
        <f>77261+564739</f>
        <v>642000</v>
      </c>
      <c r="G190" s="222">
        <v>0</v>
      </c>
      <c r="H190" s="223">
        <v>0</v>
      </c>
      <c r="I190" s="221">
        <v>0</v>
      </c>
      <c r="J190" s="226">
        <v>0</v>
      </c>
      <c r="K190" s="226">
        <v>0</v>
      </c>
      <c r="L190" s="221">
        <f t="shared" si="27"/>
        <v>0</v>
      </c>
      <c r="M190" s="221">
        <f t="shared" si="28"/>
        <v>0</v>
      </c>
      <c r="N190" s="221">
        <v>0</v>
      </c>
      <c r="O190" s="221">
        <v>0</v>
      </c>
    </row>
    <row r="191" spans="1:15" x14ac:dyDescent="0.25">
      <c r="B191" s="184" t="s">
        <v>205</v>
      </c>
      <c r="C191" s="212">
        <v>1452000</v>
      </c>
      <c r="D191" s="221"/>
      <c r="E191" s="221"/>
      <c r="F191" s="221">
        <f>853408.33+498591.67+100000</f>
        <v>1452000</v>
      </c>
      <c r="G191" s="222">
        <v>0</v>
      </c>
      <c r="H191" s="223">
        <v>0</v>
      </c>
      <c r="I191" s="221">
        <v>0</v>
      </c>
      <c r="J191" s="226">
        <v>0</v>
      </c>
      <c r="K191" s="226">
        <v>0</v>
      </c>
      <c r="L191" s="221">
        <f t="shared" si="27"/>
        <v>0</v>
      </c>
      <c r="M191" s="221">
        <f t="shared" si="28"/>
        <v>0</v>
      </c>
      <c r="N191" s="221">
        <v>0</v>
      </c>
      <c r="O191" s="221">
        <v>0</v>
      </c>
    </row>
    <row r="192" spans="1:15" x14ac:dyDescent="0.25">
      <c r="B192" s="184" t="s">
        <v>206</v>
      </c>
      <c r="C192" s="212">
        <v>317000</v>
      </c>
      <c r="D192" s="221"/>
      <c r="E192" s="221"/>
      <c r="F192" s="221">
        <f>317000</f>
        <v>317000</v>
      </c>
      <c r="G192" s="222">
        <v>0</v>
      </c>
      <c r="H192" s="223">
        <v>0</v>
      </c>
      <c r="I192" s="221">
        <v>0</v>
      </c>
      <c r="J192" s="226">
        <v>0</v>
      </c>
      <c r="K192" s="226">
        <v>0</v>
      </c>
      <c r="L192" s="221">
        <f t="shared" si="27"/>
        <v>0</v>
      </c>
      <c r="M192" s="221">
        <f t="shared" si="28"/>
        <v>0</v>
      </c>
      <c r="N192" s="221">
        <v>0</v>
      </c>
      <c r="O192" s="221">
        <v>0</v>
      </c>
    </row>
    <row r="193" spans="1:15" x14ac:dyDescent="0.25">
      <c r="B193" s="184" t="s">
        <v>207</v>
      </c>
      <c r="C193" s="212">
        <f>154000+400000</f>
        <v>554000</v>
      </c>
      <c r="D193" s="221"/>
      <c r="E193" s="221"/>
      <c r="F193" s="221">
        <f>182583.42+275528.65+49660.29+12202.63+34025.01</f>
        <v>554000</v>
      </c>
      <c r="G193" s="222">
        <v>0</v>
      </c>
      <c r="H193" s="223">
        <v>0</v>
      </c>
      <c r="I193" s="221">
        <v>0</v>
      </c>
      <c r="J193" s="226">
        <v>0</v>
      </c>
      <c r="K193" s="226">
        <v>0</v>
      </c>
      <c r="L193" s="221">
        <f t="shared" si="27"/>
        <v>0</v>
      </c>
      <c r="M193" s="221">
        <f t="shared" si="28"/>
        <v>0</v>
      </c>
      <c r="N193" s="221">
        <v>0</v>
      </c>
      <c r="O193" s="221">
        <v>0</v>
      </c>
    </row>
    <row r="194" spans="1:15" x14ac:dyDescent="0.25">
      <c r="B194" s="184" t="s">
        <v>208</v>
      </c>
      <c r="C194" s="212">
        <f>284000+125000</f>
        <v>409000</v>
      </c>
      <c r="D194" s="221"/>
      <c r="E194" s="221"/>
      <c r="F194" s="222">
        <f>349767.69+59232.31</f>
        <v>409000</v>
      </c>
      <c r="G194" s="222">
        <v>0</v>
      </c>
      <c r="H194" s="223">
        <v>0</v>
      </c>
      <c r="I194" s="221">
        <v>0</v>
      </c>
      <c r="J194" s="226">
        <v>0</v>
      </c>
      <c r="K194" s="226">
        <v>0</v>
      </c>
      <c r="L194" s="221">
        <f t="shared" si="27"/>
        <v>0</v>
      </c>
      <c r="M194" s="221">
        <f t="shared" si="28"/>
        <v>0</v>
      </c>
      <c r="N194" s="221">
        <v>0</v>
      </c>
      <c r="O194" s="221">
        <v>0</v>
      </c>
    </row>
    <row r="195" spans="1:15" x14ac:dyDescent="0.25">
      <c r="B195" s="184" t="s">
        <v>209</v>
      </c>
      <c r="C195" s="212">
        <f>495000+150000</f>
        <v>645000</v>
      </c>
      <c r="D195" s="221"/>
      <c r="E195" s="221"/>
      <c r="F195" s="222">
        <f>218980.88+67737+325356.07+23047.08</f>
        <v>635121.02999999991</v>
      </c>
      <c r="G195" s="222">
        <v>9878.9700000000448</v>
      </c>
      <c r="H195" s="223">
        <v>9878.9699999999993</v>
      </c>
      <c r="I195" s="221">
        <f>[4]FSU!I161</f>
        <v>0</v>
      </c>
      <c r="J195" s="226">
        <f>[4]FSU!J161</f>
        <v>0</v>
      </c>
      <c r="K195" s="226">
        <f>[4]FSU!K161</f>
        <v>0</v>
      </c>
      <c r="L195" s="221">
        <f t="shared" si="27"/>
        <v>4.5474735088646412E-11</v>
      </c>
      <c r="M195" s="221">
        <f t="shared" si="28"/>
        <v>0</v>
      </c>
      <c r="N195" s="221">
        <v>0</v>
      </c>
      <c r="O195" s="221">
        <v>9878.9699999999993</v>
      </c>
    </row>
    <row r="196" spans="1:15" x14ac:dyDescent="0.25">
      <c r="B196" s="184" t="s">
        <v>226</v>
      </c>
      <c r="C196" s="212">
        <f>100000+236000+200000</f>
        <v>536000</v>
      </c>
      <c r="D196" s="221">
        <v>0.03</v>
      </c>
      <c r="E196" s="221"/>
      <c r="F196" s="221">
        <f>51450.65+149768.64+281527.91+41350.19+11902.64</f>
        <v>536000.02999999991</v>
      </c>
      <c r="G196" s="222">
        <v>0</v>
      </c>
      <c r="H196" s="223">
        <v>0</v>
      </c>
      <c r="I196" s="221">
        <v>0</v>
      </c>
      <c r="J196" s="226">
        <v>0</v>
      </c>
      <c r="K196" s="226">
        <v>0</v>
      </c>
      <c r="L196" s="221">
        <f t="shared" si="27"/>
        <v>0</v>
      </c>
      <c r="M196" s="221">
        <f t="shared" si="28"/>
        <v>0</v>
      </c>
      <c r="N196" s="221"/>
      <c r="O196" s="221">
        <v>0</v>
      </c>
    </row>
    <row r="197" spans="1:15" x14ac:dyDescent="0.25">
      <c r="B197" s="184" t="s">
        <v>211</v>
      </c>
      <c r="C197" s="212">
        <f>900000+250000+439000</f>
        <v>1589000</v>
      </c>
      <c r="D197" s="221"/>
      <c r="E197" s="221"/>
      <c r="F197" s="221">
        <f>621656.31+967343.69</f>
        <v>1589000</v>
      </c>
      <c r="G197" s="222">
        <v>0</v>
      </c>
      <c r="H197" s="223">
        <v>0</v>
      </c>
      <c r="I197" s="221">
        <f>[4]TU!I203+[4]TU!I210+[4]TU!I216</f>
        <v>0</v>
      </c>
      <c r="J197" s="226">
        <f>[4]TU!J203+[4]TU!J210+[4]TU!J216</f>
        <v>0</v>
      </c>
      <c r="K197" s="226">
        <f>[4]TU!K203+[4]TU!K210+[4]TU!K216</f>
        <v>0</v>
      </c>
      <c r="L197" s="221">
        <f t="shared" si="27"/>
        <v>0</v>
      </c>
      <c r="M197" s="221">
        <f t="shared" si="28"/>
        <v>0</v>
      </c>
      <c r="N197" s="221">
        <v>0</v>
      </c>
      <c r="O197" s="221">
        <v>0</v>
      </c>
    </row>
    <row r="198" spans="1:15" x14ac:dyDescent="0.25">
      <c r="B198" s="184" t="s">
        <v>212</v>
      </c>
      <c r="C198" s="212">
        <v>418000</v>
      </c>
      <c r="D198" s="221"/>
      <c r="E198" s="221"/>
      <c r="F198" s="221">
        <f>17749.93+363435.12+18289.79+18525.16</f>
        <v>417999.99999999994</v>
      </c>
      <c r="G198" s="222">
        <v>0</v>
      </c>
      <c r="H198" s="223">
        <v>0</v>
      </c>
      <c r="I198" s="221">
        <f>[4]UB!I146</f>
        <v>0</v>
      </c>
      <c r="J198" s="226">
        <f>[4]UB!J146</f>
        <v>0</v>
      </c>
      <c r="K198" s="226">
        <f>[4]UB!K146</f>
        <v>0</v>
      </c>
      <c r="L198" s="221">
        <f t="shared" si="27"/>
        <v>0</v>
      </c>
      <c r="M198" s="221">
        <f t="shared" si="28"/>
        <v>0</v>
      </c>
      <c r="N198" s="221"/>
      <c r="O198" s="221">
        <v>0</v>
      </c>
    </row>
    <row r="199" spans="1:15" x14ac:dyDescent="0.25">
      <c r="B199" s="224" t="s">
        <v>216</v>
      </c>
      <c r="C199" s="212">
        <v>463000</v>
      </c>
      <c r="D199" s="194"/>
      <c r="E199" s="221">
        <f>82000+829190.54+288809.46-100000-1200000-250000-113000</f>
        <v>-463000</v>
      </c>
      <c r="F199" s="226"/>
      <c r="G199" s="222">
        <v>0</v>
      </c>
      <c r="H199" s="223"/>
      <c r="I199" s="221"/>
      <c r="J199" s="226"/>
      <c r="K199" s="226"/>
      <c r="L199" s="221"/>
      <c r="M199" s="221">
        <f t="shared" si="28"/>
        <v>0</v>
      </c>
      <c r="N199" s="221"/>
      <c r="O199" s="221"/>
    </row>
    <row r="200" spans="1:15" x14ac:dyDescent="0.25">
      <c r="B200" s="184" t="s">
        <v>266</v>
      </c>
      <c r="C200" s="225"/>
      <c r="D200" s="194"/>
      <c r="E200" s="226">
        <f>100000+1200000</f>
        <v>1300000</v>
      </c>
      <c r="F200" s="221">
        <f>610722.96+220997.45+425919.2+42360.39</f>
        <v>1299999.9999999998</v>
      </c>
      <c r="G200" s="222">
        <v>0</v>
      </c>
      <c r="H200" s="223">
        <v>0</v>
      </c>
      <c r="I200" s="221">
        <v>0</v>
      </c>
      <c r="J200" s="226">
        <v>0</v>
      </c>
      <c r="K200" s="226">
        <v>0</v>
      </c>
      <c r="L200" s="221">
        <f t="shared" si="27"/>
        <v>0</v>
      </c>
      <c r="M200" s="221">
        <f t="shared" si="28"/>
        <v>0</v>
      </c>
      <c r="N200" s="221"/>
      <c r="O200" s="221">
        <v>0</v>
      </c>
    </row>
    <row r="201" spans="1:15" x14ac:dyDescent="0.25">
      <c r="B201" s="184" t="s">
        <v>245</v>
      </c>
      <c r="C201" s="225"/>
      <c r="D201" s="194"/>
      <c r="E201" s="226">
        <v>250000</v>
      </c>
      <c r="F201" s="221">
        <f>65573.85+184426.15</f>
        <v>250000</v>
      </c>
      <c r="G201" s="222">
        <v>0</v>
      </c>
      <c r="H201" s="223">
        <v>0</v>
      </c>
      <c r="I201" s="221"/>
      <c r="J201" s="226"/>
      <c r="K201" s="226">
        <f>'[4]USM &amp; COI'!K83</f>
        <v>0</v>
      </c>
      <c r="L201" s="221">
        <f>G201-H201-I201-J201-K201</f>
        <v>0</v>
      </c>
      <c r="M201" s="221">
        <f t="shared" si="28"/>
        <v>0</v>
      </c>
      <c r="N201" s="221"/>
      <c r="O201" s="221">
        <v>0</v>
      </c>
    </row>
    <row r="202" spans="1:15" x14ac:dyDescent="0.25">
      <c r="C202" s="212"/>
      <c r="D202" s="213"/>
      <c r="E202" s="213"/>
      <c r="F202" s="221"/>
      <c r="G202" s="215"/>
      <c r="H202" s="216"/>
      <c r="I202" s="213"/>
      <c r="J202" s="217"/>
      <c r="K202" s="217"/>
      <c r="L202" s="213"/>
      <c r="M202" s="213"/>
      <c r="N202" s="213"/>
      <c r="O202" s="213"/>
    </row>
    <row r="203" spans="1:15" ht="13.8" thickBot="1" x14ac:dyDescent="0.3">
      <c r="B203" s="227" t="s">
        <v>267</v>
      </c>
      <c r="C203" s="228">
        <f t="shared" ref="C203:O203" si="29">SUM(C184:C202)</f>
        <v>54500000</v>
      </c>
      <c r="D203" s="228">
        <f t="shared" si="29"/>
        <v>0.05</v>
      </c>
      <c r="E203" s="228">
        <f t="shared" si="29"/>
        <v>1087000</v>
      </c>
      <c r="F203" s="251">
        <f t="shared" si="29"/>
        <v>55487588.07</v>
      </c>
      <c r="G203" s="228">
        <f t="shared" si="29"/>
        <v>99411.980000000156</v>
      </c>
      <c r="H203" s="228">
        <f t="shared" si="29"/>
        <v>99411.98</v>
      </c>
      <c r="I203" s="228">
        <f t="shared" si="29"/>
        <v>0</v>
      </c>
      <c r="J203" s="228">
        <f t="shared" si="29"/>
        <v>0</v>
      </c>
      <c r="K203" s="228">
        <f t="shared" si="29"/>
        <v>0</v>
      </c>
      <c r="L203" s="228">
        <f t="shared" si="29"/>
        <v>1.6189005691558123E-10</v>
      </c>
      <c r="M203" s="228">
        <f t="shared" si="29"/>
        <v>0</v>
      </c>
      <c r="N203" s="228">
        <f t="shared" si="29"/>
        <v>0</v>
      </c>
      <c r="O203" s="228">
        <f t="shared" si="29"/>
        <v>99411.98</v>
      </c>
    </row>
    <row r="204" spans="1:15" ht="13.8" thickTop="1" x14ac:dyDescent="0.25">
      <c r="C204" s="212"/>
      <c r="D204" s="213"/>
      <c r="E204" s="213"/>
      <c r="F204" s="250"/>
      <c r="G204" s="215"/>
      <c r="H204" s="216"/>
      <c r="I204" s="213"/>
      <c r="J204" s="217"/>
      <c r="K204" s="217"/>
      <c r="L204" s="213"/>
      <c r="M204" s="213"/>
      <c r="N204" s="213"/>
      <c r="O204" s="213"/>
    </row>
    <row r="205" spans="1:15" x14ac:dyDescent="0.25">
      <c r="A205" s="224" t="s">
        <v>198</v>
      </c>
      <c r="C205" s="212"/>
      <c r="D205" s="213"/>
      <c r="E205" s="213"/>
      <c r="F205" s="221"/>
      <c r="G205" s="215"/>
      <c r="H205" s="216"/>
      <c r="I205" s="215"/>
      <c r="J205" s="215"/>
      <c r="K205" s="215"/>
      <c r="L205" s="213"/>
      <c r="M205" s="213"/>
      <c r="N205" s="213"/>
      <c r="O205" s="213"/>
    </row>
    <row r="206" spans="1:15" hidden="1" x14ac:dyDescent="0.25">
      <c r="B206" s="184" t="s">
        <v>268</v>
      </c>
      <c r="C206" s="212">
        <v>5000000</v>
      </c>
      <c r="D206" s="213"/>
      <c r="E206" s="213"/>
      <c r="F206" s="221">
        <f>2386505.39+1680899.39+112315.64+37609.43+444747.89+15591.94+322330.32</f>
        <v>5000000.0000000009</v>
      </c>
      <c r="G206" s="231">
        <f>[4]UMCP!F288</f>
        <v>0</v>
      </c>
      <c r="H206" s="232">
        <v>0</v>
      </c>
      <c r="I206" s="231">
        <f>[4]UMCP!I288</f>
        <v>0</v>
      </c>
      <c r="J206" s="231">
        <f>[4]UMCP!J288</f>
        <v>0</v>
      </c>
      <c r="K206" s="231">
        <f>[4]UMCP!K288</f>
        <v>0</v>
      </c>
      <c r="L206" s="221">
        <f>G206-H206-I206-J206-K206</f>
        <v>0</v>
      </c>
      <c r="M206" s="221"/>
      <c r="N206" s="221"/>
      <c r="O206" s="221">
        <f>H204+K204</f>
        <v>0</v>
      </c>
    </row>
    <row r="207" spans="1:15" hidden="1" x14ac:dyDescent="0.25">
      <c r="B207" s="184" t="s">
        <v>269</v>
      </c>
      <c r="C207" s="212">
        <v>10000000</v>
      </c>
      <c r="D207" s="213"/>
      <c r="E207" s="213"/>
      <c r="F207" s="221">
        <f>202050.59+8360021.99+258271.37+1179656.05</f>
        <v>10000000</v>
      </c>
      <c r="G207" s="231">
        <v>0</v>
      </c>
      <c r="H207" s="232">
        <v>0</v>
      </c>
      <c r="I207" s="231">
        <v>0</v>
      </c>
      <c r="J207" s="231">
        <v>0</v>
      </c>
      <c r="K207" s="231">
        <v>0</v>
      </c>
      <c r="L207" s="221">
        <f>G207-H207-I207-J207-K207</f>
        <v>0</v>
      </c>
      <c r="M207" s="221"/>
      <c r="N207" s="221"/>
      <c r="O207" s="221">
        <f>H205+K205</f>
        <v>0</v>
      </c>
    </row>
    <row r="208" spans="1:15" x14ac:dyDescent="0.25">
      <c r="B208" s="224" t="s">
        <v>201</v>
      </c>
      <c r="C208" s="212"/>
      <c r="D208" s="213"/>
      <c r="E208" s="213"/>
      <c r="F208" s="221"/>
      <c r="G208" s="215"/>
      <c r="H208" s="216"/>
      <c r="I208" s="215"/>
      <c r="J208" s="215"/>
      <c r="K208" s="215"/>
      <c r="L208" s="221"/>
      <c r="M208" s="221"/>
      <c r="N208" s="221"/>
      <c r="O208" s="221"/>
    </row>
    <row r="209" spans="2:15" hidden="1" x14ac:dyDescent="0.25">
      <c r="B209" s="184" t="s">
        <v>202</v>
      </c>
      <c r="C209" s="221">
        <v>7300000</v>
      </c>
      <c r="D209" s="221"/>
      <c r="E209" s="213"/>
      <c r="F209" s="221">
        <f>7300000</f>
        <v>7300000</v>
      </c>
      <c r="G209" s="222">
        <v>0</v>
      </c>
      <c r="H209" s="223">
        <v>0</v>
      </c>
      <c r="I209" s="222">
        <v>0</v>
      </c>
      <c r="J209" s="222">
        <v>0</v>
      </c>
      <c r="K209" s="222">
        <v>0</v>
      </c>
      <c r="L209" s="221">
        <f t="shared" ref="L209:L222" si="30">G209-H209-I209-J209-K209</f>
        <v>0</v>
      </c>
      <c r="M209" s="221"/>
      <c r="N209" s="221"/>
      <c r="O209" s="221">
        <f>H207+K207</f>
        <v>0</v>
      </c>
    </row>
    <row r="210" spans="2:15" x14ac:dyDescent="0.25">
      <c r="B210" s="184" t="s">
        <v>203</v>
      </c>
      <c r="C210" s="221">
        <f>990000+990000+695000</f>
        <v>2675000</v>
      </c>
      <c r="D210" s="221"/>
      <c r="E210" s="213"/>
      <c r="F210" s="221">
        <f>17183.71+229661+131826.35+690398.91+1500831.83+2485+49881.91+26243.19+10483.21</f>
        <v>2658995.11</v>
      </c>
      <c r="G210" s="222">
        <v>16004.889999999719</v>
      </c>
      <c r="H210" s="223">
        <v>16004.89</v>
      </c>
      <c r="I210" s="222">
        <f>[4]UMB!I290</f>
        <v>0</v>
      </c>
      <c r="J210" s="222">
        <f>[4]UMB!J290</f>
        <v>0</v>
      </c>
      <c r="K210" s="222">
        <f>[4]UMB!K290</f>
        <v>0</v>
      </c>
      <c r="L210" s="221">
        <f t="shared" si="30"/>
        <v>-2.801243681460619E-10</v>
      </c>
      <c r="M210" s="221">
        <f t="shared" ref="M210:M219" si="31">H210-N210-O210</f>
        <v>0</v>
      </c>
      <c r="N210" s="221">
        <v>0</v>
      </c>
      <c r="O210" s="221">
        <v>16004.89</v>
      </c>
    </row>
    <row r="211" spans="2:15" x14ac:dyDescent="0.25">
      <c r="B211" s="184" t="s">
        <v>204</v>
      </c>
      <c r="C211" s="221">
        <v>642000</v>
      </c>
      <c r="E211" s="221">
        <v>-569.73</v>
      </c>
      <c r="F211" s="221">
        <f>641430.27</f>
        <v>641430.27</v>
      </c>
      <c r="G211" s="222">
        <v>-1.8644641386345029E-11</v>
      </c>
      <c r="H211" s="223">
        <v>0</v>
      </c>
      <c r="I211" s="222">
        <f>[4]UMES!I143</f>
        <v>0</v>
      </c>
      <c r="J211" s="222">
        <f>[4]UMES!J143</f>
        <v>0</v>
      </c>
      <c r="K211" s="222">
        <f>[4]UMES!K143</f>
        <v>0</v>
      </c>
      <c r="L211" s="221">
        <f t="shared" si="30"/>
        <v>-1.8644641386345029E-11</v>
      </c>
      <c r="M211" s="221">
        <f t="shared" si="31"/>
        <v>0</v>
      </c>
      <c r="N211" s="221">
        <v>0</v>
      </c>
      <c r="O211" s="221">
        <v>0</v>
      </c>
    </row>
    <row r="212" spans="2:15" x14ac:dyDescent="0.25">
      <c r="B212" s="184" t="s">
        <v>205</v>
      </c>
      <c r="C212" s="221">
        <v>1452000</v>
      </c>
      <c r="D212" s="221"/>
      <c r="E212" s="213"/>
      <c r="F212" s="221">
        <f>1352000+100000</f>
        <v>1452000</v>
      </c>
      <c r="G212" s="222">
        <v>0</v>
      </c>
      <c r="H212" s="223">
        <v>0</v>
      </c>
      <c r="I212" s="222">
        <v>0</v>
      </c>
      <c r="J212" s="222">
        <v>0</v>
      </c>
      <c r="K212" s="222">
        <v>0</v>
      </c>
      <c r="L212" s="221">
        <f t="shared" si="30"/>
        <v>0</v>
      </c>
      <c r="M212" s="221">
        <f t="shared" si="31"/>
        <v>0</v>
      </c>
      <c r="N212" s="221">
        <v>0</v>
      </c>
      <c r="O212" s="221">
        <v>0</v>
      </c>
    </row>
    <row r="213" spans="2:15" x14ac:dyDescent="0.25">
      <c r="B213" s="184" t="s">
        <v>206</v>
      </c>
      <c r="C213" s="221">
        <v>317000</v>
      </c>
      <c r="D213" s="221"/>
      <c r="E213" s="213"/>
      <c r="F213" s="222">
        <f>188967.76+128032.24</f>
        <v>317000</v>
      </c>
      <c r="G213" s="222">
        <v>0</v>
      </c>
      <c r="H213" s="223">
        <v>0</v>
      </c>
      <c r="I213" s="222">
        <v>0</v>
      </c>
      <c r="J213" s="222">
        <v>0</v>
      </c>
      <c r="K213" s="222">
        <v>0</v>
      </c>
      <c r="L213" s="221">
        <f t="shared" si="30"/>
        <v>0</v>
      </c>
      <c r="M213" s="221">
        <f t="shared" si="31"/>
        <v>0</v>
      </c>
      <c r="N213" s="221">
        <v>0</v>
      </c>
      <c r="O213" s="221">
        <v>0</v>
      </c>
    </row>
    <row r="214" spans="2:15" x14ac:dyDescent="0.25">
      <c r="B214" s="184" t="s">
        <v>207</v>
      </c>
      <c r="C214" s="221">
        <v>554000</v>
      </c>
      <c r="D214" s="221"/>
      <c r="E214" s="213"/>
      <c r="F214" s="221">
        <f>494268.28+57168.93+2562.79</f>
        <v>554000.00000000012</v>
      </c>
      <c r="G214" s="222">
        <v>0</v>
      </c>
      <c r="H214" s="223">
        <v>0</v>
      </c>
      <c r="I214" s="222">
        <v>0</v>
      </c>
      <c r="J214" s="222">
        <v>0</v>
      </c>
      <c r="K214" s="222">
        <v>0</v>
      </c>
      <c r="L214" s="221">
        <f t="shared" si="30"/>
        <v>0</v>
      </c>
      <c r="M214" s="221">
        <f t="shared" si="31"/>
        <v>0</v>
      </c>
      <c r="N214" s="221">
        <v>0</v>
      </c>
      <c r="O214" s="221">
        <v>0</v>
      </c>
    </row>
    <row r="215" spans="2:15" x14ac:dyDescent="0.25">
      <c r="B215" s="184" t="s">
        <v>208</v>
      </c>
      <c r="C215" s="221">
        <f>284000+125000</f>
        <v>409000</v>
      </c>
      <c r="D215" s="226">
        <f>8568.82+8657.18</f>
        <v>17226</v>
      </c>
      <c r="E215" s="213"/>
      <c r="F215" s="226">
        <f>333494.01+10775.25+81956.74</f>
        <v>426226</v>
      </c>
      <c r="G215" s="222">
        <v>0</v>
      </c>
      <c r="H215" s="223">
        <v>0</v>
      </c>
      <c r="I215" s="222">
        <v>0</v>
      </c>
      <c r="J215" s="222">
        <v>0</v>
      </c>
      <c r="K215" s="222">
        <v>0</v>
      </c>
      <c r="L215" s="221">
        <f t="shared" si="30"/>
        <v>0</v>
      </c>
      <c r="M215" s="221">
        <f t="shared" si="31"/>
        <v>0</v>
      </c>
      <c r="N215" s="221">
        <v>0</v>
      </c>
      <c r="O215" s="221">
        <v>0</v>
      </c>
    </row>
    <row r="216" spans="2:15" x14ac:dyDescent="0.25">
      <c r="B216" s="184" t="s">
        <v>209</v>
      </c>
      <c r="C216" s="221">
        <f>450000+195000</f>
        <v>645000</v>
      </c>
      <c r="D216" s="221"/>
      <c r="E216" s="213"/>
      <c r="F216" s="221">
        <f>34127.16+527404.43+3750+79718.41</f>
        <v>645000.00000000012</v>
      </c>
      <c r="G216" s="222">
        <v>0</v>
      </c>
      <c r="H216" s="223">
        <v>0</v>
      </c>
      <c r="I216" s="222">
        <v>0</v>
      </c>
      <c r="J216" s="222">
        <v>0</v>
      </c>
      <c r="K216" s="222">
        <v>0</v>
      </c>
      <c r="L216" s="221">
        <f t="shared" si="30"/>
        <v>0</v>
      </c>
      <c r="M216" s="221">
        <f t="shared" si="31"/>
        <v>0</v>
      </c>
      <c r="N216" s="221">
        <v>0</v>
      </c>
      <c r="O216" s="221">
        <v>0</v>
      </c>
    </row>
    <row r="217" spans="2:15" x14ac:dyDescent="0.25">
      <c r="B217" s="184" t="s">
        <v>226</v>
      </c>
      <c r="C217" s="221">
        <f>300000+236000</f>
        <v>536000</v>
      </c>
      <c r="D217" s="221"/>
      <c r="E217" s="213"/>
      <c r="F217" s="221">
        <f>201126.68+334873.32</f>
        <v>536000</v>
      </c>
      <c r="G217" s="222">
        <v>0</v>
      </c>
      <c r="H217" s="223">
        <v>0</v>
      </c>
      <c r="I217" s="222">
        <v>0</v>
      </c>
      <c r="J217" s="222">
        <v>0</v>
      </c>
      <c r="K217" s="222">
        <v>0</v>
      </c>
      <c r="L217" s="221">
        <f t="shared" si="30"/>
        <v>0</v>
      </c>
      <c r="M217" s="221">
        <f t="shared" si="31"/>
        <v>0</v>
      </c>
      <c r="N217" s="221">
        <v>0</v>
      </c>
      <c r="O217" s="221">
        <v>0</v>
      </c>
    </row>
    <row r="218" spans="2:15" x14ac:dyDescent="0.25">
      <c r="B218" s="184" t="s">
        <v>211</v>
      </c>
      <c r="C218" s="221">
        <f>550000+550000+489000</f>
        <v>1589000</v>
      </c>
      <c r="D218" s="221"/>
      <c r="E218" s="213"/>
      <c r="F218" s="221">
        <f>84859.81+1340943.35+53861.98+4809.95+104524.91</f>
        <v>1589000</v>
      </c>
      <c r="G218" s="222">
        <v>0</v>
      </c>
      <c r="H218" s="223">
        <v>0</v>
      </c>
      <c r="I218" s="222">
        <f>[4]TU!I224+[4]TU!I238+[4]TU!I246</f>
        <v>0</v>
      </c>
      <c r="J218" s="222">
        <f>[4]TU!J224+[4]TU!J238+[4]TU!J246</f>
        <v>0</v>
      </c>
      <c r="K218" s="222">
        <f>[4]TU!K224+[4]TU!K238+[4]TU!K246</f>
        <v>0</v>
      </c>
      <c r="L218" s="221">
        <f t="shared" si="30"/>
        <v>0</v>
      </c>
      <c r="M218" s="221">
        <f t="shared" si="31"/>
        <v>0</v>
      </c>
      <c r="N218" s="221">
        <v>0</v>
      </c>
      <c r="O218" s="221">
        <v>0</v>
      </c>
    </row>
    <row r="219" spans="2:15" x14ac:dyDescent="0.25">
      <c r="B219" s="184" t="s">
        <v>212</v>
      </c>
      <c r="C219" s="212">
        <v>418000</v>
      </c>
      <c r="D219" s="213"/>
      <c r="E219" s="213"/>
      <c r="F219" s="221">
        <f>290213.4+1733.06+7974.04+47924.96+45244+22388.85</f>
        <v>415478.31</v>
      </c>
      <c r="G219" s="222">
        <v>2521.6900000000387</v>
      </c>
      <c r="H219" s="223">
        <v>2521.69</v>
      </c>
      <c r="I219" s="222">
        <f>[4]UB!I159</f>
        <v>0</v>
      </c>
      <c r="J219" s="222">
        <f>[4]UB!J159</f>
        <v>0</v>
      </c>
      <c r="K219" s="222">
        <f>[4]UB!K159</f>
        <v>0</v>
      </c>
      <c r="L219" s="221">
        <f t="shared" si="30"/>
        <v>3.865352482534945E-11</v>
      </c>
      <c r="M219" s="221">
        <f t="shared" si="31"/>
        <v>2521.69</v>
      </c>
      <c r="N219" s="221">
        <v>0</v>
      </c>
      <c r="O219" s="221">
        <v>0</v>
      </c>
    </row>
    <row r="220" spans="2:15" x14ac:dyDescent="0.25">
      <c r="B220" s="224" t="s">
        <v>216</v>
      </c>
      <c r="C220" s="212">
        <v>463000</v>
      </c>
      <c r="D220" s="221"/>
      <c r="E220" s="221">
        <f>-200000-125000-100000-38000</f>
        <v>-463000</v>
      </c>
      <c r="F220" s="221"/>
      <c r="G220" s="222">
        <v>0</v>
      </c>
      <c r="H220" s="223"/>
      <c r="I220" s="222"/>
      <c r="J220" s="222"/>
      <c r="K220" s="222"/>
      <c r="L220" s="221"/>
      <c r="M220" s="221"/>
      <c r="N220" s="221"/>
      <c r="O220" s="221"/>
    </row>
    <row r="221" spans="2:15" x14ac:dyDescent="0.25">
      <c r="B221" s="184" t="s">
        <v>271</v>
      </c>
      <c r="C221" s="212"/>
      <c r="D221" s="221"/>
      <c r="E221" s="221">
        <v>200000</v>
      </c>
      <c r="F221" s="222">
        <f>12000+175073.75+12926.25</f>
        <v>200000</v>
      </c>
      <c r="G221" s="222">
        <v>0</v>
      </c>
      <c r="H221" s="223">
        <v>0</v>
      </c>
      <c r="I221" s="222">
        <v>0</v>
      </c>
      <c r="J221" s="222">
        <v>0</v>
      </c>
      <c r="K221" s="222">
        <v>0</v>
      </c>
      <c r="L221" s="221">
        <f t="shared" si="30"/>
        <v>0</v>
      </c>
      <c r="M221" s="221"/>
      <c r="N221" s="221"/>
      <c r="O221" s="221">
        <v>0</v>
      </c>
    </row>
    <row r="222" spans="2:15" x14ac:dyDescent="0.25">
      <c r="B222" s="184" t="s">
        <v>272</v>
      </c>
      <c r="C222" s="212"/>
      <c r="D222" s="221"/>
      <c r="E222" s="221">
        <v>125000</v>
      </c>
      <c r="F222" s="221">
        <f>10428.44+114387.04+184.52</f>
        <v>125000</v>
      </c>
      <c r="G222" s="222">
        <v>0</v>
      </c>
      <c r="H222" s="223">
        <v>0</v>
      </c>
      <c r="I222" s="222">
        <v>0</v>
      </c>
      <c r="J222" s="222">
        <v>0</v>
      </c>
      <c r="K222" s="222">
        <v>0</v>
      </c>
      <c r="L222" s="221">
        <f t="shared" si="30"/>
        <v>0</v>
      </c>
      <c r="M222" s="221"/>
      <c r="N222" s="221"/>
      <c r="O222" s="221">
        <v>0</v>
      </c>
    </row>
    <row r="223" spans="2:15" x14ac:dyDescent="0.25">
      <c r="B223" s="184" t="s">
        <v>273</v>
      </c>
      <c r="C223" s="212"/>
      <c r="D223" s="221"/>
      <c r="E223" s="221">
        <f>100000</f>
        <v>100000</v>
      </c>
      <c r="F223" s="221">
        <f>17814.81+82185.19</f>
        <v>100000</v>
      </c>
      <c r="G223" s="222">
        <v>0</v>
      </c>
      <c r="H223" s="223">
        <v>0</v>
      </c>
      <c r="I223" s="222">
        <v>0</v>
      </c>
      <c r="J223" s="222">
        <v>0</v>
      </c>
      <c r="K223" s="222">
        <f>[4]UMCP!K15</f>
        <v>0</v>
      </c>
      <c r="L223" s="221">
        <f>G223-H223-I223-J223-K223</f>
        <v>0</v>
      </c>
      <c r="M223" s="221"/>
      <c r="N223" s="221"/>
      <c r="O223" s="221">
        <v>0</v>
      </c>
    </row>
    <row r="224" spans="2:15" x14ac:dyDescent="0.25">
      <c r="C224" s="212"/>
      <c r="D224" s="213"/>
      <c r="E224" s="213"/>
      <c r="F224" s="221"/>
      <c r="G224" s="215"/>
      <c r="H224" s="216"/>
      <c r="I224" s="215"/>
      <c r="J224" s="215"/>
      <c r="K224" s="215"/>
      <c r="L224" s="213"/>
      <c r="M224" s="213"/>
      <c r="N224" s="213"/>
      <c r="O224" s="213"/>
    </row>
    <row r="225" spans="1:15" ht="13.8" thickBot="1" x14ac:dyDescent="0.3">
      <c r="B225" s="227" t="s">
        <v>218</v>
      </c>
      <c r="C225" s="228">
        <f t="shared" ref="C225:O225" si="32">SUM(C206:C224)</f>
        <v>32000000</v>
      </c>
      <c r="D225" s="228">
        <f t="shared" si="32"/>
        <v>17226</v>
      </c>
      <c r="E225" s="228">
        <f t="shared" si="32"/>
        <v>-38569.729999999981</v>
      </c>
      <c r="F225" s="251">
        <f t="shared" si="32"/>
        <v>31960129.689999998</v>
      </c>
      <c r="G225" s="228">
        <f t="shared" si="32"/>
        <v>18526.57999999974</v>
      </c>
      <c r="H225" s="228">
        <f t="shared" si="32"/>
        <v>18526.579999999998</v>
      </c>
      <c r="I225" s="228">
        <f t="shared" si="32"/>
        <v>0</v>
      </c>
      <c r="J225" s="228">
        <f t="shared" si="32"/>
        <v>0</v>
      </c>
      <c r="K225" s="228">
        <f t="shared" si="32"/>
        <v>0</v>
      </c>
      <c r="L225" s="228">
        <f t="shared" si="32"/>
        <v>-2.6011548470705748E-10</v>
      </c>
      <c r="M225" s="228">
        <f t="shared" si="32"/>
        <v>2521.69</v>
      </c>
      <c r="N225" s="228">
        <f t="shared" si="32"/>
        <v>0</v>
      </c>
      <c r="O225" s="228">
        <f t="shared" si="32"/>
        <v>16004.89</v>
      </c>
    </row>
    <row r="226" spans="1:15" ht="13.8" thickTop="1" x14ac:dyDescent="0.25">
      <c r="C226" s="212"/>
      <c r="D226" s="213"/>
      <c r="E226" s="213"/>
      <c r="F226" s="250"/>
      <c r="G226" s="231"/>
      <c r="H226" s="232"/>
      <c r="I226" s="231"/>
      <c r="J226" s="231"/>
      <c r="K226" s="231"/>
      <c r="L226" s="221"/>
      <c r="M226" s="221"/>
      <c r="N226" s="221"/>
      <c r="O226" s="221"/>
    </row>
    <row r="227" spans="1:15" x14ac:dyDescent="0.25">
      <c r="A227" s="224" t="s">
        <v>274</v>
      </c>
      <c r="C227" s="212"/>
      <c r="D227" s="213"/>
      <c r="E227" s="213"/>
      <c r="F227" s="221"/>
      <c r="G227" s="215"/>
      <c r="H227" s="216"/>
      <c r="I227" s="215"/>
      <c r="J227" s="215"/>
      <c r="K227" s="215"/>
      <c r="L227" s="213"/>
      <c r="M227" s="213"/>
      <c r="N227" s="213"/>
      <c r="O227" s="213"/>
    </row>
    <row r="228" spans="1:15" hidden="1" x14ac:dyDescent="0.25">
      <c r="B228" s="184" t="s">
        <v>268</v>
      </c>
      <c r="C228" s="212">
        <v>5000000</v>
      </c>
      <c r="D228" s="213"/>
      <c r="E228" s="213"/>
      <c r="F228" s="221">
        <f>3529+2923550.04+105092+1082695.32+267467.11+355792.93+261873.6</f>
        <v>5000000</v>
      </c>
      <c r="G228" s="231">
        <v>0</v>
      </c>
      <c r="H228" s="232">
        <v>0</v>
      </c>
      <c r="I228" s="231">
        <v>0</v>
      </c>
      <c r="J228" s="231">
        <v>0</v>
      </c>
      <c r="K228" s="231">
        <v>0</v>
      </c>
      <c r="L228" s="221">
        <f>G228-H228-I228-J228-K228</f>
        <v>0</v>
      </c>
      <c r="M228" s="221"/>
      <c r="N228" s="221"/>
      <c r="O228" s="221">
        <f>H228+I228+J228+K228</f>
        <v>0</v>
      </c>
    </row>
    <row r="229" spans="1:15" hidden="1" x14ac:dyDescent="0.25">
      <c r="B229" s="184" t="s">
        <v>275</v>
      </c>
      <c r="C229" s="212">
        <v>10000000</v>
      </c>
      <c r="D229" s="213"/>
      <c r="E229" s="213"/>
      <c r="F229" s="221">
        <f>9969803.99+30196.01</f>
        <v>10000000</v>
      </c>
      <c r="G229" s="231">
        <v>0</v>
      </c>
      <c r="H229" s="232">
        <v>0</v>
      </c>
      <c r="I229" s="231">
        <v>0</v>
      </c>
      <c r="J229" s="231">
        <v>0</v>
      </c>
      <c r="K229" s="231">
        <v>0</v>
      </c>
      <c r="L229" s="221">
        <f>G229-H229-I229-J229-K229</f>
        <v>0</v>
      </c>
      <c r="M229" s="221"/>
      <c r="N229" s="221"/>
      <c r="O229" s="221">
        <f>H229+I229+J229+K229</f>
        <v>0</v>
      </c>
    </row>
    <row r="230" spans="1:15" x14ac:dyDescent="0.25">
      <c r="B230" s="224" t="s">
        <v>201</v>
      </c>
      <c r="C230" s="212"/>
      <c r="D230" s="213"/>
      <c r="E230" s="213"/>
      <c r="F230" s="221"/>
      <c r="G230" s="215"/>
      <c r="H230" s="216"/>
      <c r="I230" s="215"/>
      <c r="J230" s="215"/>
      <c r="K230" s="215"/>
      <c r="L230" s="221"/>
      <c r="M230" s="221"/>
      <c r="N230" s="221"/>
      <c r="O230" s="221"/>
    </row>
    <row r="231" spans="1:15" hidden="1" x14ac:dyDescent="0.25">
      <c r="B231" s="184" t="s">
        <v>202</v>
      </c>
      <c r="C231" s="221">
        <v>7300000</v>
      </c>
      <c r="D231" s="221"/>
      <c r="E231" s="221"/>
      <c r="F231" s="221">
        <f>1854333.16+428252.37+5017414.47</f>
        <v>7300000</v>
      </c>
      <c r="G231" s="222">
        <v>0</v>
      </c>
      <c r="H231" s="223">
        <v>0</v>
      </c>
      <c r="I231" s="222">
        <v>0</v>
      </c>
      <c r="J231" s="222">
        <v>0</v>
      </c>
      <c r="K231" s="222">
        <v>0</v>
      </c>
      <c r="L231" s="221">
        <f t="shared" ref="L231:L243" si="33">G231-H231-I231-J231-K231</f>
        <v>0</v>
      </c>
      <c r="M231" s="221"/>
      <c r="N231" s="221"/>
      <c r="O231" s="221">
        <f>H231+I231+J231+K231</f>
        <v>0</v>
      </c>
    </row>
    <row r="232" spans="1:15" x14ac:dyDescent="0.25">
      <c r="B232" s="184" t="s">
        <v>203</v>
      </c>
      <c r="C232" s="221">
        <v>2675000</v>
      </c>
      <c r="D232" s="221"/>
      <c r="E232" s="221"/>
      <c r="F232" s="221">
        <f>27961.56+248653.58+1461944.86+27572.65+761929.36+1092+70720.87+9695.05+87.36</f>
        <v>2609657.2899999996</v>
      </c>
      <c r="G232" s="222">
        <v>65342.709999999992</v>
      </c>
      <c r="H232" s="223">
        <v>65342.71</v>
      </c>
      <c r="I232" s="222">
        <f>[4]UMB!I308</f>
        <v>0</v>
      </c>
      <c r="J232" s="222">
        <f>[4]UMB!J308</f>
        <v>0</v>
      </c>
      <c r="K232" s="222">
        <f>[4]UMB!K308</f>
        <v>0</v>
      </c>
      <c r="L232" s="221">
        <f t="shared" si="33"/>
        <v>-7.2759576141834259E-12</v>
      </c>
      <c r="M232" s="221">
        <f>H232-N232-O232</f>
        <v>0</v>
      </c>
      <c r="N232" s="221">
        <v>0</v>
      </c>
      <c r="O232" s="221">
        <v>65342.71</v>
      </c>
    </row>
    <row r="233" spans="1:15" hidden="1" x14ac:dyDescent="0.25">
      <c r="B233" s="184" t="s">
        <v>204</v>
      </c>
      <c r="C233" s="221">
        <v>642000</v>
      </c>
      <c r="D233" s="221"/>
      <c r="E233" s="221"/>
      <c r="F233" s="222">
        <f>265235.37+376764.63</f>
        <v>642000</v>
      </c>
      <c r="G233" s="222">
        <v>0</v>
      </c>
      <c r="H233" s="223">
        <v>0</v>
      </c>
      <c r="I233" s="222">
        <v>0</v>
      </c>
      <c r="J233" s="222">
        <v>0</v>
      </c>
      <c r="K233" s="222">
        <v>0</v>
      </c>
      <c r="L233" s="221">
        <f t="shared" si="33"/>
        <v>0</v>
      </c>
      <c r="M233" s="221"/>
      <c r="N233" s="221">
        <v>0</v>
      </c>
      <c r="O233" s="221">
        <f t="shared" ref="O233:O241" si="34">H233+I233+J233+K233</f>
        <v>0</v>
      </c>
    </row>
    <row r="234" spans="1:15" hidden="1" x14ac:dyDescent="0.25">
      <c r="B234" s="184" t="s">
        <v>205</v>
      </c>
      <c r="C234" s="221">
        <v>1452000</v>
      </c>
      <c r="D234" s="221"/>
      <c r="E234" s="221"/>
      <c r="F234" s="221">
        <f>75040.75+1319734.01+38257.4+18967.84</f>
        <v>1452000</v>
      </c>
      <c r="G234" s="222">
        <v>0</v>
      </c>
      <c r="H234" s="223">
        <v>0</v>
      </c>
      <c r="I234" s="222">
        <v>0</v>
      </c>
      <c r="J234" s="222">
        <v>0</v>
      </c>
      <c r="K234" s="222">
        <v>0</v>
      </c>
      <c r="L234" s="221">
        <f t="shared" si="33"/>
        <v>0</v>
      </c>
      <c r="M234" s="221"/>
      <c r="N234" s="221">
        <v>0</v>
      </c>
      <c r="O234" s="221">
        <f t="shared" si="34"/>
        <v>0</v>
      </c>
    </row>
    <row r="235" spans="1:15" hidden="1" x14ac:dyDescent="0.25">
      <c r="B235" s="184" t="s">
        <v>206</v>
      </c>
      <c r="C235" s="221">
        <v>317000</v>
      </c>
      <c r="D235" s="221"/>
      <c r="E235" s="221"/>
      <c r="F235" s="221">
        <f>317000</f>
        <v>317000</v>
      </c>
      <c r="G235" s="222">
        <v>0</v>
      </c>
      <c r="H235" s="223">
        <v>0</v>
      </c>
      <c r="I235" s="222">
        <v>0</v>
      </c>
      <c r="J235" s="222">
        <v>0</v>
      </c>
      <c r="K235" s="222">
        <v>0</v>
      </c>
      <c r="L235" s="221">
        <f t="shared" si="33"/>
        <v>0</v>
      </c>
      <c r="M235" s="221"/>
      <c r="N235" s="221">
        <v>0</v>
      </c>
      <c r="O235" s="221">
        <f t="shared" si="34"/>
        <v>0</v>
      </c>
    </row>
    <row r="236" spans="1:15" hidden="1" x14ac:dyDescent="0.25">
      <c r="B236" s="184" t="s">
        <v>207</v>
      </c>
      <c r="C236" s="221">
        <v>554000</v>
      </c>
      <c r="D236" s="221"/>
      <c r="E236" s="221"/>
      <c r="F236" s="221">
        <f>14006.5+9101+530000+892.5</f>
        <v>554000</v>
      </c>
      <c r="G236" s="222">
        <v>0</v>
      </c>
      <c r="H236" s="223">
        <v>0</v>
      </c>
      <c r="I236" s="222">
        <v>0</v>
      </c>
      <c r="J236" s="222">
        <v>0</v>
      </c>
      <c r="K236" s="222">
        <v>0</v>
      </c>
      <c r="L236" s="221">
        <f t="shared" si="33"/>
        <v>0</v>
      </c>
      <c r="M236" s="221"/>
      <c r="N236" s="221">
        <v>0</v>
      </c>
      <c r="O236" s="221">
        <f t="shared" si="34"/>
        <v>0</v>
      </c>
    </row>
    <row r="237" spans="1:15" hidden="1" x14ac:dyDescent="0.25">
      <c r="B237" s="184" t="s">
        <v>208</v>
      </c>
      <c r="C237" s="221">
        <v>409000</v>
      </c>
      <c r="D237" s="100">
        <v>-8657.18</v>
      </c>
      <c r="E237" s="221"/>
      <c r="F237" s="226">
        <f>400342.82</f>
        <v>400342.82</v>
      </c>
      <c r="G237" s="222">
        <v>0</v>
      </c>
      <c r="H237" s="223">
        <v>0</v>
      </c>
      <c r="I237" s="222">
        <v>0</v>
      </c>
      <c r="J237" s="222">
        <v>0</v>
      </c>
      <c r="K237" s="222">
        <v>0</v>
      </c>
      <c r="L237" s="221">
        <f t="shared" si="33"/>
        <v>0</v>
      </c>
      <c r="M237" s="221"/>
      <c r="N237" s="221">
        <v>0</v>
      </c>
      <c r="O237" s="221">
        <f t="shared" si="34"/>
        <v>0</v>
      </c>
    </row>
    <row r="238" spans="1:15" hidden="1" x14ac:dyDescent="0.25">
      <c r="B238" s="184" t="s">
        <v>209</v>
      </c>
      <c r="C238" s="221">
        <v>645000</v>
      </c>
      <c r="D238" s="221"/>
      <c r="E238" s="221"/>
      <c r="F238" s="221">
        <f>94801.54+119529.13+19228.26+323200+6410.7+81830.37</f>
        <v>644999.99999999988</v>
      </c>
      <c r="G238" s="222">
        <v>0</v>
      </c>
      <c r="H238" s="223">
        <v>0</v>
      </c>
      <c r="I238" s="222">
        <v>0</v>
      </c>
      <c r="J238" s="222">
        <v>0</v>
      </c>
      <c r="K238" s="222">
        <v>0</v>
      </c>
      <c r="L238" s="221">
        <f t="shared" si="33"/>
        <v>0</v>
      </c>
      <c r="M238" s="221"/>
      <c r="N238" s="221">
        <v>0</v>
      </c>
      <c r="O238" s="221">
        <f t="shared" si="34"/>
        <v>0</v>
      </c>
    </row>
    <row r="239" spans="1:15" hidden="1" x14ac:dyDescent="0.25">
      <c r="B239" s="184" t="s">
        <v>226</v>
      </c>
      <c r="C239" s="221">
        <v>536000</v>
      </c>
      <c r="D239" s="221">
        <v>-0.03</v>
      </c>
      <c r="E239" s="221"/>
      <c r="F239" s="221">
        <f>459882.47+76117.5</f>
        <v>535999.97</v>
      </c>
      <c r="G239" s="222">
        <v>0</v>
      </c>
      <c r="H239" s="223">
        <v>0</v>
      </c>
      <c r="I239" s="222">
        <v>0</v>
      </c>
      <c r="J239" s="222">
        <v>0</v>
      </c>
      <c r="K239" s="222">
        <v>0</v>
      </c>
      <c r="L239" s="221">
        <f t="shared" si="33"/>
        <v>0</v>
      </c>
      <c r="M239" s="221"/>
      <c r="N239" s="221">
        <v>0</v>
      </c>
      <c r="O239" s="221">
        <f t="shared" si="34"/>
        <v>0</v>
      </c>
    </row>
    <row r="240" spans="1:15" hidden="1" x14ac:dyDescent="0.25">
      <c r="B240" s="184" t="s">
        <v>211</v>
      </c>
      <c r="C240" s="221">
        <v>1589000</v>
      </c>
      <c r="D240" s="221"/>
      <c r="E240" s="221"/>
      <c r="F240" s="221">
        <f>1297648.93+14449.5+4900+272001.57</f>
        <v>1589000</v>
      </c>
      <c r="G240" s="222">
        <v>0</v>
      </c>
      <c r="H240" s="223">
        <v>0</v>
      </c>
      <c r="I240" s="222">
        <v>0</v>
      </c>
      <c r="J240" s="222">
        <v>0</v>
      </c>
      <c r="K240" s="222">
        <v>0</v>
      </c>
      <c r="L240" s="221">
        <f t="shared" si="33"/>
        <v>0</v>
      </c>
      <c r="M240" s="221"/>
      <c r="N240" s="221">
        <v>0</v>
      </c>
      <c r="O240" s="221">
        <f t="shared" si="34"/>
        <v>0</v>
      </c>
    </row>
    <row r="241" spans="1:15" hidden="1" x14ac:dyDescent="0.25">
      <c r="B241" s="184" t="s">
        <v>212</v>
      </c>
      <c r="C241" s="212">
        <v>418000</v>
      </c>
      <c r="D241" s="221">
        <v>-67674.259999999995</v>
      </c>
      <c r="E241" s="213"/>
      <c r="F241" s="221">
        <f>133766.84+186228.72+14900+15430.18</f>
        <v>350325.74</v>
      </c>
      <c r="G241" s="222">
        <v>0</v>
      </c>
      <c r="H241" s="223">
        <v>0</v>
      </c>
      <c r="I241" s="222">
        <v>0</v>
      </c>
      <c r="J241" s="222">
        <v>0</v>
      </c>
      <c r="K241" s="222">
        <v>0</v>
      </c>
      <c r="L241" s="221">
        <f t="shared" si="33"/>
        <v>0</v>
      </c>
      <c r="M241" s="221"/>
      <c r="N241" s="221">
        <v>0</v>
      </c>
      <c r="O241" s="221">
        <f t="shared" si="34"/>
        <v>0</v>
      </c>
    </row>
    <row r="242" spans="1:15" x14ac:dyDescent="0.25">
      <c r="B242" s="224" t="s">
        <v>216</v>
      </c>
      <c r="C242" s="212">
        <v>463000</v>
      </c>
      <c r="E242" s="100">
        <f>24627.14-80000-288809.46-75000-43817.68</f>
        <v>-463000</v>
      </c>
      <c r="F242" s="221">
        <f>'[4]Emergency Funds'!G104</f>
        <v>0</v>
      </c>
      <c r="G242" s="222">
        <v>0</v>
      </c>
      <c r="H242" s="223"/>
      <c r="I242" s="222"/>
      <c r="J242" s="222"/>
      <c r="K242" s="222"/>
      <c r="L242" s="221"/>
      <c r="M242" s="221">
        <f>H242-N242-O242</f>
        <v>0</v>
      </c>
      <c r="N242" s="221"/>
      <c r="O242" s="221"/>
    </row>
    <row r="243" spans="1:15" x14ac:dyDescent="0.25">
      <c r="B243" s="184" t="s">
        <v>276</v>
      </c>
      <c r="C243" s="212"/>
      <c r="D243" s="185">
        <v>-63620.75</v>
      </c>
      <c r="E243" s="100">
        <f>75000</f>
        <v>75000</v>
      </c>
      <c r="F243" s="221">
        <f>11379.25</f>
        <v>11379.25</v>
      </c>
      <c r="G243" s="222">
        <v>0</v>
      </c>
      <c r="H243" s="223">
        <v>0</v>
      </c>
      <c r="I243" s="222">
        <f>[4]UMES!I10</f>
        <v>0</v>
      </c>
      <c r="J243" s="222">
        <f>[4]UMES!J10</f>
        <v>0</v>
      </c>
      <c r="K243" s="222">
        <f>[4]UMES!K10</f>
        <v>0</v>
      </c>
      <c r="L243" s="221">
        <f t="shared" si="33"/>
        <v>0</v>
      </c>
      <c r="M243" s="221">
        <f>H243-N243-O243</f>
        <v>0</v>
      </c>
      <c r="N243" s="221">
        <v>0</v>
      </c>
      <c r="O243" s="221">
        <v>0</v>
      </c>
    </row>
    <row r="244" spans="1:15" x14ac:dyDescent="0.25">
      <c r="C244" s="212"/>
      <c r="D244" s="213"/>
      <c r="E244" s="213"/>
      <c r="F244" s="221"/>
      <c r="G244" s="215"/>
      <c r="H244" s="216"/>
      <c r="I244" s="215"/>
      <c r="J244" s="215"/>
      <c r="K244" s="215"/>
      <c r="L244" s="213"/>
      <c r="M244" s="213"/>
      <c r="N244" s="213"/>
      <c r="O244" s="213"/>
    </row>
    <row r="245" spans="1:15" ht="13.8" thickBot="1" x14ac:dyDescent="0.3">
      <c r="B245" s="227" t="s">
        <v>277</v>
      </c>
      <c r="C245" s="228">
        <f t="shared" ref="C245:O245" si="35">SUM(C228:C244)</f>
        <v>32000000</v>
      </c>
      <c r="D245" s="228">
        <f t="shared" si="35"/>
        <v>-139952.22</v>
      </c>
      <c r="E245" s="228">
        <f t="shared" si="35"/>
        <v>-388000</v>
      </c>
      <c r="F245" s="251">
        <f t="shared" si="35"/>
        <v>31406705.069999997</v>
      </c>
      <c r="G245" s="228">
        <f t="shared" si="35"/>
        <v>65342.709999999992</v>
      </c>
      <c r="H245" s="228">
        <f t="shared" si="35"/>
        <v>65342.71</v>
      </c>
      <c r="I245" s="228">
        <f t="shared" si="35"/>
        <v>0</v>
      </c>
      <c r="J245" s="228">
        <f t="shared" si="35"/>
        <v>0</v>
      </c>
      <c r="K245" s="228">
        <f t="shared" si="35"/>
        <v>0</v>
      </c>
      <c r="L245" s="228">
        <f t="shared" si="35"/>
        <v>-7.2759576141834259E-12</v>
      </c>
      <c r="M245" s="228">
        <f t="shared" si="35"/>
        <v>0</v>
      </c>
      <c r="N245" s="228">
        <f t="shared" si="35"/>
        <v>0</v>
      </c>
      <c r="O245" s="228">
        <f t="shared" si="35"/>
        <v>65342.71</v>
      </c>
    </row>
    <row r="246" spans="1:15" ht="13.8" thickTop="1" x14ac:dyDescent="0.25">
      <c r="B246" s="224"/>
      <c r="C246" s="212"/>
      <c r="D246" s="212"/>
      <c r="E246" s="212"/>
      <c r="F246" s="250"/>
      <c r="G246" s="212"/>
      <c r="H246" s="225"/>
      <c r="I246" s="212"/>
      <c r="J246" s="212"/>
      <c r="K246" s="212"/>
      <c r="L246" s="212"/>
      <c r="M246" s="212"/>
      <c r="N246" s="212"/>
      <c r="O246" s="212"/>
    </row>
    <row r="247" spans="1:15" x14ac:dyDescent="0.25">
      <c r="A247" s="224" t="s">
        <v>278</v>
      </c>
      <c r="C247" s="212"/>
      <c r="D247" s="213"/>
      <c r="E247" s="213"/>
      <c r="F247" s="221"/>
      <c r="G247" s="215"/>
      <c r="H247" s="216"/>
      <c r="I247" s="215"/>
      <c r="J247" s="215"/>
      <c r="K247" s="215"/>
      <c r="L247" s="213"/>
      <c r="M247" s="213"/>
      <c r="N247" s="213"/>
      <c r="O247" s="213"/>
    </row>
    <row r="248" spans="1:15" x14ac:dyDescent="0.25">
      <c r="B248" s="184" t="s">
        <v>279</v>
      </c>
      <c r="C248" s="212">
        <v>5000000</v>
      </c>
      <c r="D248" s="213"/>
      <c r="E248" s="213"/>
      <c r="F248" s="221">
        <f>2778210.96+92729.25+1551217.53+577842.26</f>
        <v>5000000</v>
      </c>
      <c r="G248" s="231">
        <v>0</v>
      </c>
      <c r="H248" s="232">
        <v>0</v>
      </c>
      <c r="I248" s="231">
        <v>0</v>
      </c>
      <c r="J248" s="231">
        <v>0</v>
      </c>
      <c r="K248" s="231">
        <v>0</v>
      </c>
      <c r="L248" s="221">
        <f>G248-H248-I248-J248-K248</f>
        <v>0</v>
      </c>
      <c r="M248" s="221">
        <f>H248-N248-O248</f>
        <v>0</v>
      </c>
      <c r="N248" s="221">
        <v>0</v>
      </c>
      <c r="O248" s="221">
        <v>0</v>
      </c>
    </row>
    <row r="249" spans="1:15" x14ac:dyDescent="0.25">
      <c r="B249" s="184" t="s">
        <v>280</v>
      </c>
      <c r="C249" s="212">
        <v>463000</v>
      </c>
      <c r="D249" s="221"/>
      <c r="E249" s="213"/>
      <c r="F249" s="221">
        <f>378155.03+84844.97</f>
        <v>463000</v>
      </c>
      <c r="G249" s="231">
        <v>0</v>
      </c>
      <c r="H249" s="232">
        <v>0</v>
      </c>
      <c r="I249" s="231"/>
      <c r="J249" s="231">
        <v>0</v>
      </c>
      <c r="K249" s="231">
        <v>0</v>
      </c>
      <c r="L249" s="221">
        <f>G249-H249-I249-J249-K249</f>
        <v>0</v>
      </c>
      <c r="M249" s="221">
        <f>H249-N249-O249</f>
        <v>0</v>
      </c>
      <c r="N249" s="221">
        <v>0</v>
      </c>
      <c r="O249" s="221">
        <v>0</v>
      </c>
    </row>
    <row r="250" spans="1:15" x14ac:dyDescent="0.25">
      <c r="B250" s="184" t="s">
        <v>275</v>
      </c>
      <c r="C250" s="212">
        <v>10000000</v>
      </c>
      <c r="D250" s="221">
        <v>-91469.57</v>
      </c>
      <c r="E250" s="213"/>
      <c r="F250" s="221">
        <f>9859707.89+30276.49+18546.05</f>
        <v>9908530.4300000016</v>
      </c>
      <c r="G250" s="231">
        <v>0</v>
      </c>
      <c r="H250" s="232">
        <v>0</v>
      </c>
      <c r="I250" s="231"/>
      <c r="J250" s="231">
        <v>0</v>
      </c>
      <c r="K250" s="231">
        <v>0</v>
      </c>
      <c r="L250" s="221">
        <f>G250-H250-I250-J250-K250</f>
        <v>0</v>
      </c>
      <c r="M250" s="221">
        <f>H250-N250-O250</f>
        <v>0</v>
      </c>
      <c r="N250" s="221">
        <v>0</v>
      </c>
      <c r="O250" s="221">
        <v>0</v>
      </c>
    </row>
    <row r="251" spans="1:15" x14ac:dyDescent="0.25">
      <c r="B251" s="224" t="s">
        <v>201</v>
      </c>
      <c r="C251" s="212"/>
      <c r="D251" s="213"/>
      <c r="E251" s="213"/>
      <c r="F251" s="221"/>
      <c r="G251" s="215"/>
      <c r="H251" s="216"/>
      <c r="I251" s="215"/>
      <c r="J251" s="215"/>
      <c r="K251" s="215"/>
      <c r="L251" s="213"/>
      <c r="M251" s="213"/>
      <c r="N251" s="221"/>
      <c r="O251" s="221"/>
    </row>
    <row r="252" spans="1:15" x14ac:dyDescent="0.25">
      <c r="B252" s="184" t="s">
        <v>202</v>
      </c>
      <c r="C252" s="221">
        <v>7300000</v>
      </c>
      <c r="D252" s="221"/>
      <c r="E252" s="221"/>
      <c r="F252" s="221">
        <f>420527.44+1130610.57+5748861.99</f>
        <v>7300000</v>
      </c>
      <c r="G252" s="222">
        <v>0</v>
      </c>
      <c r="H252" s="223">
        <v>0</v>
      </c>
      <c r="I252" s="222">
        <v>0</v>
      </c>
      <c r="J252" s="222">
        <v>0</v>
      </c>
      <c r="K252" s="222">
        <v>0</v>
      </c>
      <c r="L252" s="221">
        <f>G252-H252-I252-J252</f>
        <v>0</v>
      </c>
      <c r="M252" s="221">
        <f t="shared" ref="M252:M262" si="36">H252-N252-O252</f>
        <v>0</v>
      </c>
      <c r="N252" s="221">
        <v>0</v>
      </c>
      <c r="O252" s="221">
        <v>0</v>
      </c>
    </row>
    <row r="253" spans="1:15" x14ac:dyDescent="0.25">
      <c r="B253" s="184" t="s">
        <v>203</v>
      </c>
      <c r="C253" s="221">
        <v>2675000</v>
      </c>
      <c r="D253" s="221"/>
      <c r="E253" s="221"/>
      <c r="F253" s="221">
        <f>48636+4536+17500+238254.32+2127983.58+59368.09+25549.05+3465+18478.54+40801.13+2590.32</f>
        <v>2587162.0299999993</v>
      </c>
      <c r="G253" s="222">
        <v>87837.970000000059</v>
      </c>
      <c r="H253" s="223">
        <v>87837.97</v>
      </c>
      <c r="I253" s="222">
        <f>[4]UMB!I331</f>
        <v>0</v>
      </c>
      <c r="J253" s="222">
        <f>[4]UMB!J331</f>
        <v>0</v>
      </c>
      <c r="K253" s="222">
        <f>[4]UMB!K331</f>
        <v>0</v>
      </c>
      <c r="L253" s="221">
        <f t="shared" ref="L253:L262" si="37">G253-H253-I253-J253-K253</f>
        <v>5.8207660913467407E-11</v>
      </c>
      <c r="M253" s="221">
        <f t="shared" si="36"/>
        <v>0</v>
      </c>
      <c r="N253" s="221">
        <v>0</v>
      </c>
      <c r="O253" s="221">
        <v>87837.97</v>
      </c>
    </row>
    <row r="254" spans="1:15" x14ac:dyDescent="0.25">
      <c r="B254" s="184" t="s">
        <v>204</v>
      </c>
      <c r="C254" s="221">
        <v>642000</v>
      </c>
      <c r="D254" s="221"/>
      <c r="E254" s="221"/>
      <c r="F254" s="222">
        <v>642000.00000000012</v>
      </c>
      <c r="G254" s="222">
        <v>0</v>
      </c>
      <c r="H254" s="223">
        <v>0</v>
      </c>
      <c r="I254" s="222">
        <v>0</v>
      </c>
      <c r="J254" s="222">
        <v>0</v>
      </c>
      <c r="K254" s="222">
        <v>0</v>
      </c>
      <c r="L254" s="221">
        <f t="shared" si="37"/>
        <v>0</v>
      </c>
      <c r="M254" s="221">
        <f t="shared" si="36"/>
        <v>0</v>
      </c>
      <c r="N254" s="221">
        <v>0</v>
      </c>
      <c r="O254" s="221">
        <v>0</v>
      </c>
    </row>
    <row r="255" spans="1:15" x14ac:dyDescent="0.25">
      <c r="B255" s="184" t="s">
        <v>205</v>
      </c>
      <c r="C255" s="221">
        <v>1452000</v>
      </c>
      <c r="D255" s="221"/>
      <c r="E255" s="221"/>
      <c r="F255" s="221">
        <f>9700+211037.97+1162738.9+68523.13</f>
        <v>1452000</v>
      </c>
      <c r="G255" s="222">
        <v>0</v>
      </c>
      <c r="H255" s="223">
        <v>0</v>
      </c>
      <c r="I255" s="222"/>
      <c r="J255" s="222">
        <v>0</v>
      </c>
      <c r="K255" s="222">
        <v>0</v>
      </c>
      <c r="L255" s="221">
        <f t="shared" si="37"/>
        <v>0</v>
      </c>
      <c r="M255" s="221">
        <f t="shared" si="36"/>
        <v>0</v>
      </c>
      <c r="N255" s="221">
        <v>0</v>
      </c>
      <c r="O255" s="221">
        <v>0</v>
      </c>
    </row>
    <row r="256" spans="1:15" x14ac:dyDescent="0.25">
      <c r="B256" s="184" t="s">
        <v>206</v>
      </c>
      <c r="C256" s="221">
        <v>317000</v>
      </c>
      <c r="E256" s="226">
        <v>-194040.47</v>
      </c>
      <c r="F256" s="226">
        <f>74674+44032.8+4252.73</f>
        <v>122959.53</v>
      </c>
      <c r="G256" s="222">
        <v>0</v>
      </c>
      <c r="H256" s="223">
        <v>0</v>
      </c>
      <c r="I256" s="222"/>
      <c r="J256" s="222">
        <v>0</v>
      </c>
      <c r="K256" s="222">
        <v>0</v>
      </c>
      <c r="L256" s="221">
        <f t="shared" si="37"/>
        <v>0</v>
      </c>
      <c r="M256" s="221">
        <f t="shared" si="36"/>
        <v>0</v>
      </c>
      <c r="N256" s="221">
        <v>0</v>
      </c>
      <c r="O256" s="221">
        <v>0</v>
      </c>
    </row>
    <row r="257" spans="1:15" x14ac:dyDescent="0.25">
      <c r="B257" s="184" t="s">
        <v>207</v>
      </c>
      <c r="C257" s="221">
        <v>554000</v>
      </c>
      <c r="D257" s="221"/>
      <c r="E257" s="221"/>
      <c r="F257" s="221">
        <f>132857.18+1432.44+419000+710.38</f>
        <v>554000</v>
      </c>
      <c r="G257" s="222">
        <v>0</v>
      </c>
      <c r="H257" s="223">
        <v>0</v>
      </c>
      <c r="I257" s="222"/>
      <c r="J257" s="222">
        <v>0</v>
      </c>
      <c r="K257" s="222">
        <v>0</v>
      </c>
      <c r="L257" s="221">
        <f t="shared" si="37"/>
        <v>0</v>
      </c>
      <c r="M257" s="221">
        <f t="shared" si="36"/>
        <v>0</v>
      </c>
      <c r="N257" s="221">
        <v>0</v>
      </c>
      <c r="O257" s="221">
        <v>0</v>
      </c>
    </row>
    <row r="258" spans="1:15" x14ac:dyDescent="0.25">
      <c r="B258" s="184" t="s">
        <v>208</v>
      </c>
      <c r="C258" s="221">
        <v>409000</v>
      </c>
      <c r="D258" s="221"/>
      <c r="E258" s="221"/>
      <c r="F258" s="221">
        <f>239668.9+169331.1</f>
        <v>409000</v>
      </c>
      <c r="G258" s="222">
        <v>0</v>
      </c>
      <c r="H258" s="223">
        <v>0</v>
      </c>
      <c r="I258" s="222"/>
      <c r="J258" s="222">
        <v>0</v>
      </c>
      <c r="K258" s="222">
        <v>0</v>
      </c>
      <c r="L258" s="221">
        <f t="shared" si="37"/>
        <v>0</v>
      </c>
      <c r="M258" s="221">
        <f t="shared" si="36"/>
        <v>0</v>
      </c>
      <c r="N258" s="221">
        <v>0</v>
      </c>
      <c r="O258" s="221">
        <v>0</v>
      </c>
    </row>
    <row r="259" spans="1:15" x14ac:dyDescent="0.25">
      <c r="B259" s="184" t="s">
        <v>209</v>
      </c>
      <c r="C259" s="221">
        <v>645000</v>
      </c>
      <c r="E259" s="221">
        <v>-400000</v>
      </c>
      <c r="F259" s="226">
        <f>49796.39+156674.21+38529.4</f>
        <v>244999.99999999997</v>
      </c>
      <c r="G259" s="222">
        <v>0</v>
      </c>
      <c r="H259" s="223">
        <v>0</v>
      </c>
      <c r="I259" s="222"/>
      <c r="J259" s="222">
        <v>0</v>
      </c>
      <c r="K259" s="222">
        <v>0</v>
      </c>
      <c r="L259" s="221">
        <f t="shared" si="37"/>
        <v>0</v>
      </c>
      <c r="M259" s="221">
        <f t="shared" si="36"/>
        <v>0</v>
      </c>
      <c r="N259" s="221">
        <v>0</v>
      </c>
      <c r="O259" s="221">
        <v>0</v>
      </c>
    </row>
    <row r="260" spans="1:15" x14ac:dyDescent="0.25">
      <c r="B260" s="184" t="s">
        <v>226</v>
      </c>
      <c r="C260" s="221">
        <v>536000</v>
      </c>
      <c r="D260" s="221"/>
      <c r="E260" s="221"/>
      <c r="F260" s="221">
        <f>113111+422889</f>
        <v>536000</v>
      </c>
      <c r="G260" s="222">
        <v>0</v>
      </c>
      <c r="H260" s="223">
        <v>0</v>
      </c>
      <c r="I260" s="222"/>
      <c r="J260" s="222">
        <v>0</v>
      </c>
      <c r="K260" s="222">
        <v>0</v>
      </c>
      <c r="L260" s="221">
        <f t="shared" si="37"/>
        <v>0</v>
      </c>
      <c r="M260" s="221">
        <f t="shared" si="36"/>
        <v>0</v>
      </c>
      <c r="N260" s="221">
        <v>0</v>
      </c>
      <c r="O260" s="221">
        <v>0</v>
      </c>
    </row>
    <row r="261" spans="1:15" x14ac:dyDescent="0.25">
      <c r="B261" s="184" t="s">
        <v>211</v>
      </c>
      <c r="C261" s="221">
        <v>1589000</v>
      </c>
      <c r="D261" s="221">
        <v>-3243.25</v>
      </c>
      <c r="E261" s="221"/>
      <c r="F261" s="221">
        <f>1300000+277326.79+8429.96</f>
        <v>1585756.75</v>
      </c>
      <c r="G261" s="222">
        <v>0</v>
      </c>
      <c r="H261" s="223">
        <v>0</v>
      </c>
      <c r="I261" s="222"/>
      <c r="J261" s="222">
        <v>0</v>
      </c>
      <c r="K261" s="222">
        <v>0</v>
      </c>
      <c r="L261" s="221">
        <f t="shared" si="37"/>
        <v>0</v>
      </c>
      <c r="M261" s="221">
        <f t="shared" si="36"/>
        <v>0</v>
      </c>
      <c r="N261" s="221">
        <v>0</v>
      </c>
      <c r="O261" s="221">
        <v>0</v>
      </c>
    </row>
    <row r="262" spans="1:15" x14ac:dyDescent="0.25">
      <c r="B262" s="184" t="s">
        <v>212</v>
      </c>
      <c r="C262" s="212">
        <v>418000</v>
      </c>
      <c r="D262" s="213"/>
      <c r="E262" s="213"/>
      <c r="F262" s="221">
        <f>318000+100000</f>
        <v>418000</v>
      </c>
      <c r="G262" s="222">
        <v>0</v>
      </c>
      <c r="H262" s="223">
        <v>0</v>
      </c>
      <c r="I262" s="222"/>
      <c r="J262" s="222">
        <v>0</v>
      </c>
      <c r="K262" s="222">
        <v>0</v>
      </c>
      <c r="L262" s="221">
        <f t="shared" si="37"/>
        <v>0</v>
      </c>
      <c r="M262" s="221">
        <f t="shared" si="36"/>
        <v>0</v>
      </c>
      <c r="N262" s="221">
        <v>0</v>
      </c>
      <c r="O262" s="221">
        <v>0</v>
      </c>
    </row>
    <row r="263" spans="1:15" x14ac:dyDescent="0.25">
      <c r="C263" s="212"/>
      <c r="D263" s="213"/>
      <c r="E263" s="213"/>
      <c r="F263" s="221"/>
      <c r="G263" s="215"/>
      <c r="H263" s="216"/>
      <c r="I263" s="215"/>
      <c r="J263" s="215"/>
      <c r="K263" s="215"/>
      <c r="L263" s="213"/>
      <c r="M263" s="213"/>
      <c r="N263" s="213"/>
      <c r="O263" s="213"/>
    </row>
    <row r="264" spans="1:15" ht="13.8" thickBot="1" x14ac:dyDescent="0.3">
      <c r="B264" s="227" t="s">
        <v>281</v>
      </c>
      <c r="C264" s="228">
        <f t="shared" ref="C264:O264" si="38">SUM(C248:C263)</f>
        <v>32000000</v>
      </c>
      <c r="D264" s="228">
        <f t="shared" si="38"/>
        <v>-94712.82</v>
      </c>
      <c r="E264" s="228">
        <f t="shared" si="38"/>
        <v>-594040.47</v>
      </c>
      <c r="F264" s="251">
        <f t="shared" si="38"/>
        <v>31223408.740000002</v>
      </c>
      <c r="G264" s="228">
        <f t="shared" si="38"/>
        <v>87837.970000000059</v>
      </c>
      <c r="H264" s="228">
        <f t="shared" si="38"/>
        <v>87837.97</v>
      </c>
      <c r="I264" s="228">
        <f>SUM(I248:I263)</f>
        <v>0</v>
      </c>
      <c r="J264" s="228">
        <f t="shared" si="38"/>
        <v>0</v>
      </c>
      <c r="K264" s="228">
        <f t="shared" si="38"/>
        <v>0</v>
      </c>
      <c r="L264" s="228">
        <f t="shared" si="38"/>
        <v>5.8207660913467407E-11</v>
      </c>
      <c r="M264" s="228">
        <f t="shared" si="38"/>
        <v>0</v>
      </c>
      <c r="N264" s="228">
        <f t="shared" si="38"/>
        <v>0</v>
      </c>
      <c r="O264" s="228">
        <f t="shared" si="38"/>
        <v>87837.97</v>
      </c>
    </row>
    <row r="265" spans="1:15" ht="13.8" thickTop="1" x14ac:dyDescent="0.25">
      <c r="B265" s="224"/>
      <c r="C265" s="212"/>
      <c r="D265" s="212"/>
      <c r="E265" s="212"/>
      <c r="F265" s="221"/>
      <c r="G265" s="212"/>
      <c r="H265" s="225"/>
      <c r="I265" s="212"/>
      <c r="J265" s="212"/>
      <c r="K265" s="212"/>
      <c r="L265" s="212"/>
      <c r="M265" s="212"/>
      <c r="N265" s="212"/>
      <c r="O265" s="212"/>
    </row>
    <row r="266" spans="1:15" x14ac:dyDescent="0.25">
      <c r="A266" s="224" t="s">
        <v>282</v>
      </c>
      <c r="C266" s="212"/>
      <c r="D266" s="213"/>
      <c r="E266" s="213"/>
      <c r="F266" s="221"/>
      <c r="G266" s="215"/>
      <c r="H266" s="216"/>
      <c r="I266" s="215"/>
      <c r="J266" s="215"/>
      <c r="K266" s="215"/>
      <c r="L266" s="213"/>
      <c r="M266" s="213"/>
      <c r="N266" s="213"/>
      <c r="O266" s="213"/>
    </row>
    <row r="267" spans="1:15" x14ac:dyDescent="0.25">
      <c r="B267" s="184" t="s">
        <v>283</v>
      </c>
      <c r="C267" s="212">
        <v>10000000</v>
      </c>
      <c r="D267" s="221">
        <v>-1769675.29</v>
      </c>
      <c r="E267" s="213"/>
      <c r="F267" s="221">
        <f>552213+682212+342650+3502647.59+156429.35+2684355.93+300831.87+5989.98+2994.99</f>
        <v>8230324.71</v>
      </c>
      <c r="G267" s="222">
        <v>0</v>
      </c>
      <c r="H267" s="223">
        <v>0</v>
      </c>
      <c r="I267" s="222">
        <f>[2]UMBC!I269</f>
        <v>0</v>
      </c>
      <c r="J267" s="222">
        <f>[2]UMBC!J269</f>
        <v>0</v>
      </c>
      <c r="K267" s="222">
        <f>[2]UMBC!K269</f>
        <v>0</v>
      </c>
      <c r="L267" s="221">
        <f>G267-H267-I267-J267-K267</f>
        <v>0</v>
      </c>
      <c r="M267" s="221">
        <f>H267-N267-O267</f>
        <v>0</v>
      </c>
      <c r="N267" s="221">
        <v>0</v>
      </c>
      <c r="O267" s="221">
        <v>0</v>
      </c>
    </row>
    <row r="268" spans="1:15" x14ac:dyDescent="0.25">
      <c r="B268" s="224" t="s">
        <v>201</v>
      </c>
      <c r="C268" s="212"/>
      <c r="D268" s="213"/>
      <c r="E268" s="213"/>
      <c r="F268" s="221"/>
      <c r="G268" s="215"/>
      <c r="H268" s="216"/>
      <c r="I268" s="215"/>
      <c r="J268" s="215"/>
      <c r="K268" s="215"/>
      <c r="L268" s="221"/>
      <c r="M268" s="221"/>
      <c r="N268" s="221"/>
      <c r="O268" s="221"/>
    </row>
    <row r="269" spans="1:15" x14ac:dyDescent="0.25">
      <c r="B269" s="184" t="s">
        <v>202</v>
      </c>
      <c r="C269" s="212">
        <v>7300000</v>
      </c>
      <c r="D269" s="213"/>
      <c r="E269" s="213"/>
      <c r="F269" s="221">
        <f>521101.62+5465039.68+650600.48+663258.22</f>
        <v>7299999.9999999991</v>
      </c>
      <c r="G269" s="222">
        <v>0</v>
      </c>
      <c r="H269" s="223">
        <v>0</v>
      </c>
      <c r="I269" s="222">
        <f>[2]UMCP!I261</f>
        <v>0</v>
      </c>
      <c r="J269" s="222">
        <f>[2]UMCP!J261</f>
        <v>0</v>
      </c>
      <c r="K269" s="222">
        <v>0</v>
      </c>
      <c r="L269" s="221">
        <f>G269-H269-I269-J269</f>
        <v>0</v>
      </c>
      <c r="M269" s="221">
        <f t="shared" ref="M269:M285" si="39">H269-N269-O269</f>
        <v>0</v>
      </c>
      <c r="N269" s="221"/>
      <c r="O269" s="221">
        <v>0</v>
      </c>
    </row>
    <row r="270" spans="1:15" x14ac:dyDescent="0.25">
      <c r="B270" s="184" t="s">
        <v>203</v>
      </c>
      <c r="C270" s="212">
        <v>2675000</v>
      </c>
      <c r="D270" s="221">
        <v>-0.44</v>
      </c>
      <c r="E270" s="213"/>
      <c r="F270" s="221">
        <f>255402.95+12508.9+6918.83+51395+1530284.28+792620+5949.45+365.57+8437.42</f>
        <v>2663882.4</v>
      </c>
      <c r="G270" s="222">
        <v>11117.15999999992</v>
      </c>
      <c r="H270" s="223">
        <v>11117.16</v>
      </c>
      <c r="I270" s="222">
        <f>[2]UMB!I346</f>
        <v>0</v>
      </c>
      <c r="J270" s="222">
        <f>[2]UMB!J346</f>
        <v>0</v>
      </c>
      <c r="K270" s="222">
        <v>0</v>
      </c>
      <c r="L270" s="221">
        <f t="shared" ref="L270:L278" si="40">G270-H270-I270-J270-K270</f>
        <v>-8.0035533756017685E-11</v>
      </c>
      <c r="M270" s="221">
        <f t="shared" si="39"/>
        <v>0</v>
      </c>
      <c r="N270" s="221">
        <v>0</v>
      </c>
      <c r="O270" s="221">
        <v>11117.16</v>
      </c>
    </row>
    <row r="271" spans="1:15" x14ac:dyDescent="0.25">
      <c r="B271" s="184" t="s">
        <v>204</v>
      </c>
      <c r="C271" s="212">
        <v>642000</v>
      </c>
      <c r="D271" s="213"/>
      <c r="E271" s="213"/>
      <c r="F271" s="221">
        <f>467739.04+174260.96</f>
        <v>642000</v>
      </c>
      <c r="G271" s="222">
        <v>0</v>
      </c>
      <c r="H271" s="222">
        <v>0</v>
      </c>
      <c r="I271" s="223">
        <v>0</v>
      </c>
      <c r="J271" s="222">
        <f>[2]UMES!J137</f>
        <v>0</v>
      </c>
      <c r="K271" s="222">
        <v>0</v>
      </c>
      <c r="L271" s="221">
        <f t="shared" si="40"/>
        <v>0</v>
      </c>
      <c r="M271" s="221">
        <f t="shared" si="39"/>
        <v>0</v>
      </c>
      <c r="N271" s="221"/>
      <c r="O271" s="221">
        <v>0</v>
      </c>
    </row>
    <row r="272" spans="1:15" x14ac:dyDescent="0.25">
      <c r="B272" s="184" t="s">
        <v>205</v>
      </c>
      <c r="C272" s="212">
        <v>1452000</v>
      </c>
      <c r="D272" s="213"/>
      <c r="E272" s="213"/>
      <c r="F272" s="221">
        <f>11398.09+376900.74+3678+387308.65+333834.19+133880.33+205000</f>
        <v>1452000</v>
      </c>
      <c r="G272" s="222">
        <v>0</v>
      </c>
      <c r="H272" s="222">
        <v>0</v>
      </c>
      <c r="I272" s="223">
        <v>0</v>
      </c>
      <c r="J272" s="222">
        <f>[2]UMBC!J128</f>
        <v>0</v>
      </c>
      <c r="K272" s="222">
        <v>0</v>
      </c>
      <c r="L272" s="221">
        <f t="shared" si="40"/>
        <v>0</v>
      </c>
      <c r="M272" s="221">
        <f t="shared" si="39"/>
        <v>0</v>
      </c>
      <c r="N272" s="221"/>
      <c r="O272" s="221">
        <v>0</v>
      </c>
    </row>
    <row r="273" spans="2:15" x14ac:dyDescent="0.25">
      <c r="B273" s="184" t="s">
        <v>206</v>
      </c>
      <c r="C273" s="212">
        <v>317000</v>
      </c>
      <c r="D273" s="213"/>
      <c r="E273" s="213"/>
      <c r="F273" s="221">
        <f>155066.67+155318.95+6614.38</f>
        <v>317000</v>
      </c>
      <c r="G273" s="222">
        <v>0</v>
      </c>
      <c r="H273" s="222">
        <v>0</v>
      </c>
      <c r="I273" s="223">
        <v>0</v>
      </c>
      <c r="J273" s="222">
        <f>[2]UMCES!J143</f>
        <v>0</v>
      </c>
      <c r="K273" s="222">
        <v>0</v>
      </c>
      <c r="L273" s="221">
        <f t="shared" si="40"/>
        <v>0</v>
      </c>
      <c r="M273" s="221">
        <f t="shared" si="39"/>
        <v>0</v>
      </c>
      <c r="N273" s="221"/>
      <c r="O273" s="221">
        <v>0</v>
      </c>
    </row>
    <row r="274" spans="2:15" x14ac:dyDescent="0.25">
      <c r="B274" s="184" t="s">
        <v>207</v>
      </c>
      <c r="C274" s="212">
        <v>554000</v>
      </c>
      <c r="D274" s="213"/>
      <c r="E274" s="213"/>
      <c r="F274" s="221">
        <f>13775+173037.91+61664+305523.09</f>
        <v>554000</v>
      </c>
      <c r="G274" s="222">
        <v>0</v>
      </c>
      <c r="H274" s="222">
        <v>0</v>
      </c>
      <c r="I274" s="223">
        <v>0</v>
      </c>
      <c r="J274" s="222">
        <f>[2]BSU!J130</f>
        <v>0</v>
      </c>
      <c r="K274" s="222">
        <v>0</v>
      </c>
      <c r="L274" s="221">
        <f t="shared" si="40"/>
        <v>0</v>
      </c>
      <c r="M274" s="221">
        <f t="shared" si="39"/>
        <v>0</v>
      </c>
      <c r="N274" s="221"/>
      <c r="O274" s="221">
        <v>0</v>
      </c>
    </row>
    <row r="275" spans="2:15" x14ac:dyDescent="0.25">
      <c r="B275" s="184" t="s">
        <v>208</v>
      </c>
      <c r="C275" s="212">
        <v>409000</v>
      </c>
      <c r="D275" s="213"/>
      <c r="E275" s="213"/>
      <c r="F275" s="221">
        <f>241560+167440</f>
        <v>409000</v>
      </c>
      <c r="G275" s="222">
        <v>0</v>
      </c>
      <c r="H275" s="222">
        <v>0</v>
      </c>
      <c r="I275" s="223">
        <v>0</v>
      </c>
      <c r="J275" s="222">
        <f>[2]CSU!J187</f>
        <v>0</v>
      </c>
      <c r="K275" s="222">
        <v>0</v>
      </c>
      <c r="L275" s="221">
        <f t="shared" si="40"/>
        <v>0</v>
      </c>
      <c r="M275" s="221">
        <f t="shared" si="39"/>
        <v>0</v>
      </c>
      <c r="N275" s="221"/>
      <c r="O275" s="221">
        <v>0</v>
      </c>
    </row>
    <row r="276" spans="2:15" x14ac:dyDescent="0.25">
      <c r="B276" s="184" t="s">
        <v>209</v>
      </c>
      <c r="C276" s="212">
        <v>645000</v>
      </c>
      <c r="D276" s="221">
        <v>-123.84</v>
      </c>
      <c r="E276" s="213"/>
      <c r="F276" s="221">
        <f>149747.86+233123.53+236648.98+10887.79+14468</f>
        <v>644876.16</v>
      </c>
      <c r="G276" s="222">
        <v>0</v>
      </c>
      <c r="H276" s="222">
        <v>0</v>
      </c>
      <c r="I276" s="223">
        <v>0</v>
      </c>
      <c r="J276" s="222">
        <f>[2]FSU!J160</f>
        <v>0</v>
      </c>
      <c r="K276" s="222">
        <v>0</v>
      </c>
      <c r="L276" s="221">
        <f t="shared" si="40"/>
        <v>0</v>
      </c>
      <c r="M276" s="221">
        <f t="shared" si="39"/>
        <v>0</v>
      </c>
      <c r="N276" s="221"/>
      <c r="O276" s="221">
        <v>0</v>
      </c>
    </row>
    <row r="277" spans="2:15" x14ac:dyDescent="0.25">
      <c r="B277" s="184" t="s">
        <v>226</v>
      </c>
      <c r="C277" s="212">
        <v>536000</v>
      </c>
      <c r="D277" s="213"/>
      <c r="E277" s="213"/>
      <c r="F277" s="221">
        <f>9769.18+136034.79+390196.03</f>
        <v>536000</v>
      </c>
      <c r="G277" s="222">
        <v>0</v>
      </c>
      <c r="H277" s="222">
        <v>0</v>
      </c>
      <c r="I277" s="223">
        <v>0</v>
      </c>
      <c r="J277" s="222">
        <f>[2]SU!J143</f>
        <v>0</v>
      </c>
      <c r="K277" s="222">
        <v>0</v>
      </c>
      <c r="L277" s="221">
        <f t="shared" si="40"/>
        <v>0</v>
      </c>
      <c r="M277" s="221">
        <f t="shared" si="39"/>
        <v>0</v>
      </c>
      <c r="N277" s="221"/>
      <c r="O277" s="221">
        <v>0</v>
      </c>
    </row>
    <row r="278" spans="2:15" x14ac:dyDescent="0.25">
      <c r="B278" s="184" t="s">
        <v>211</v>
      </c>
      <c r="C278" s="212">
        <v>1589000</v>
      </c>
      <c r="D278" s="213"/>
      <c r="E278" s="213"/>
      <c r="F278" s="221">
        <f>13876.75+13876.75+372246.5+900000+276250+12750</f>
        <v>1589000</v>
      </c>
      <c r="G278" s="222">
        <v>0</v>
      </c>
      <c r="H278" s="222">
        <v>0</v>
      </c>
      <c r="I278" s="223">
        <v>0</v>
      </c>
      <c r="J278" s="222">
        <f>[2]TU!J315+[2]TU!J321+[2]TU!J328</f>
        <v>0</v>
      </c>
      <c r="K278" s="222">
        <v>0</v>
      </c>
      <c r="L278" s="221">
        <f t="shared" si="40"/>
        <v>0</v>
      </c>
      <c r="M278" s="221">
        <f t="shared" si="39"/>
        <v>0</v>
      </c>
      <c r="N278" s="221"/>
      <c r="O278" s="221">
        <v>0</v>
      </c>
    </row>
    <row r="279" spans="2:15" x14ac:dyDescent="0.25">
      <c r="B279" s="184" t="s">
        <v>212</v>
      </c>
      <c r="C279" s="212">
        <v>418000</v>
      </c>
      <c r="D279" s="213"/>
      <c r="E279" s="213"/>
      <c r="F279" s="221">
        <v>418000</v>
      </c>
      <c r="G279" s="222">
        <v>0</v>
      </c>
      <c r="H279" s="222">
        <v>0</v>
      </c>
      <c r="I279" s="223">
        <v>0</v>
      </c>
      <c r="J279" s="222">
        <f>[2]UB!J145</f>
        <v>0</v>
      </c>
      <c r="K279" s="222">
        <v>0</v>
      </c>
      <c r="L279" s="221">
        <f>G279-H279-I279-J279</f>
        <v>0</v>
      </c>
      <c r="M279" s="221">
        <f t="shared" si="39"/>
        <v>0</v>
      </c>
      <c r="N279" s="221"/>
      <c r="O279" s="221">
        <v>0</v>
      </c>
    </row>
    <row r="280" spans="2:15" x14ac:dyDescent="0.25">
      <c r="B280" s="224" t="s">
        <v>216</v>
      </c>
      <c r="C280" s="212">
        <v>463000</v>
      </c>
      <c r="D280" s="226"/>
      <c r="E280" s="226">
        <f>7473.73+143543.54+140950.06+80486.28+307.72+1573.79+225393.78+161515+6500+43000+48474-24985+400000-95042.36-352416-347584-73000-829190.54</f>
        <v>-463000.00000000023</v>
      </c>
      <c r="F280" s="226"/>
      <c r="G280" s="222"/>
      <c r="H280" s="222"/>
      <c r="I280" s="222"/>
      <c r="J280" s="222"/>
      <c r="K280" s="222"/>
      <c r="L280" s="221"/>
      <c r="M280" s="221">
        <f t="shared" si="39"/>
        <v>0</v>
      </c>
      <c r="N280" s="221"/>
      <c r="O280" s="221"/>
    </row>
    <row r="281" spans="2:15" x14ac:dyDescent="0.25">
      <c r="B281" s="184" t="s">
        <v>284</v>
      </c>
      <c r="C281" s="212"/>
      <c r="D281" s="191"/>
      <c r="E281" s="221">
        <v>95042.36</v>
      </c>
      <c r="F281" s="226">
        <f>18164+76878.36</f>
        <v>95042.36</v>
      </c>
      <c r="G281" s="222">
        <v>0</v>
      </c>
      <c r="H281" s="222">
        <v>0</v>
      </c>
      <c r="I281" s="223">
        <v>0</v>
      </c>
      <c r="J281" s="222">
        <f>[2]UMB!J32</f>
        <v>0</v>
      </c>
      <c r="K281" s="222">
        <v>0</v>
      </c>
      <c r="L281" s="221">
        <f>G281-H281-I281-J281-K281</f>
        <v>0</v>
      </c>
      <c r="M281" s="221">
        <f t="shared" si="39"/>
        <v>0</v>
      </c>
      <c r="N281" s="221"/>
      <c r="O281" s="221">
        <v>0</v>
      </c>
    </row>
    <row r="282" spans="2:15" x14ac:dyDescent="0.25">
      <c r="B282" s="184" t="s">
        <v>285</v>
      </c>
      <c r="C282" s="212"/>
      <c r="D282" s="191"/>
      <c r="E282" s="221">
        <v>24985</v>
      </c>
      <c r="F282" s="226">
        <v>24985</v>
      </c>
      <c r="G282" s="222">
        <v>0</v>
      </c>
      <c r="H282" s="222">
        <v>0</v>
      </c>
      <c r="I282" s="223">
        <v>0</v>
      </c>
      <c r="J282" s="222">
        <f>[2]UMBC!J8</f>
        <v>0</v>
      </c>
      <c r="K282" s="222">
        <v>0</v>
      </c>
      <c r="L282" s="221">
        <f>G282-H282-I282-J282-K282</f>
        <v>0</v>
      </c>
      <c r="M282" s="221">
        <f t="shared" si="39"/>
        <v>0</v>
      </c>
      <c r="N282" s="221"/>
      <c r="O282" s="221">
        <v>0</v>
      </c>
    </row>
    <row r="283" spans="2:15" x14ac:dyDescent="0.25">
      <c r="B283" s="184" t="s">
        <v>286</v>
      </c>
      <c r="C283" s="212"/>
      <c r="D283" s="190"/>
      <c r="E283" s="221">
        <f>352416+194040.47</f>
        <v>546456.47</v>
      </c>
      <c r="F283" s="226">
        <f>8359.4+401330.82+136713.16+53.09</f>
        <v>546456.47</v>
      </c>
      <c r="G283" s="222">
        <v>0</v>
      </c>
      <c r="H283" s="222">
        <v>0</v>
      </c>
      <c r="I283" s="223">
        <v>0</v>
      </c>
      <c r="J283" s="222">
        <f>[2]UMCES!J32</f>
        <v>0</v>
      </c>
      <c r="K283" s="222">
        <v>0</v>
      </c>
      <c r="L283" s="221">
        <f>G283-H283-I283-J283-K283</f>
        <v>0</v>
      </c>
      <c r="M283" s="221">
        <f t="shared" si="39"/>
        <v>0</v>
      </c>
      <c r="N283" s="221"/>
      <c r="O283" s="221">
        <v>0</v>
      </c>
    </row>
    <row r="284" spans="2:15" x14ac:dyDescent="0.25">
      <c r="B284" s="184" t="s">
        <v>287</v>
      </c>
      <c r="C284" s="212"/>
      <c r="D284" s="191"/>
      <c r="E284" s="221">
        <v>347584</v>
      </c>
      <c r="F284" s="222">
        <v>347584</v>
      </c>
      <c r="G284" s="222">
        <v>0</v>
      </c>
      <c r="H284" s="222">
        <v>0</v>
      </c>
      <c r="I284" s="223">
        <v>0</v>
      </c>
      <c r="J284" s="222">
        <f>[2]UMCES!J38</f>
        <v>0</v>
      </c>
      <c r="K284" s="222">
        <v>0</v>
      </c>
      <c r="L284" s="221">
        <f>G284-H284-I284-J284-K284</f>
        <v>0</v>
      </c>
      <c r="M284" s="221">
        <f t="shared" si="39"/>
        <v>0</v>
      </c>
      <c r="N284" s="221"/>
      <c r="O284" s="221">
        <v>0</v>
      </c>
    </row>
    <row r="285" spans="2:15" x14ac:dyDescent="0.25">
      <c r="B285" s="184" t="s">
        <v>288</v>
      </c>
      <c r="C285" s="212"/>
      <c r="D285" s="191"/>
      <c r="E285" s="221">
        <v>73000</v>
      </c>
      <c r="F285" s="226">
        <f>63198.5+1789.6+8011.9</f>
        <v>73000</v>
      </c>
      <c r="G285" s="222">
        <v>0</v>
      </c>
      <c r="H285" s="222">
        <v>0</v>
      </c>
      <c r="I285" s="223">
        <v>0</v>
      </c>
      <c r="J285" s="222">
        <f>[2]CSU!J29</f>
        <v>0</v>
      </c>
      <c r="K285" s="222">
        <v>0</v>
      </c>
      <c r="L285" s="221">
        <f>G285-H285-I285-J285-K285</f>
        <v>0</v>
      </c>
      <c r="M285" s="221">
        <f t="shared" si="39"/>
        <v>0</v>
      </c>
      <c r="N285" s="221"/>
      <c r="O285" s="221">
        <v>0</v>
      </c>
    </row>
    <row r="286" spans="2:15" x14ac:dyDescent="0.25">
      <c r="C286" s="212"/>
      <c r="D286" s="213"/>
      <c r="E286" s="213"/>
      <c r="F286" s="221"/>
      <c r="G286" s="215"/>
      <c r="H286" s="216"/>
      <c r="I286" s="215"/>
      <c r="J286" s="215"/>
      <c r="K286" s="215"/>
      <c r="L286" s="213"/>
      <c r="M286" s="213"/>
      <c r="N286" s="213"/>
      <c r="O286" s="213"/>
    </row>
    <row r="287" spans="2:15" ht="13.8" thickBot="1" x14ac:dyDescent="0.3">
      <c r="B287" s="227" t="s">
        <v>289</v>
      </c>
      <c r="C287" s="228">
        <f t="shared" ref="C287:K287" si="41">SUM(C267:C286)</f>
        <v>27000000</v>
      </c>
      <c r="D287" s="228">
        <f t="shared" si="41"/>
        <v>-1769799.57</v>
      </c>
      <c r="E287" s="228">
        <f>SUM(E267:E286)</f>
        <v>624067.82999999973</v>
      </c>
      <c r="F287" s="228">
        <f>SUM(F267:F286)</f>
        <v>25843151.099999998</v>
      </c>
      <c r="G287" s="228">
        <f>SUM(G267:G286)</f>
        <v>11117.15999999992</v>
      </c>
      <c r="H287" s="228">
        <f>SUM(H267:H286)</f>
        <v>11117.16</v>
      </c>
      <c r="I287" s="228">
        <f t="shared" si="41"/>
        <v>0</v>
      </c>
      <c r="J287" s="228">
        <f>SUM(J267:J286)</f>
        <v>0</v>
      </c>
      <c r="K287" s="228">
        <f t="shared" si="41"/>
        <v>0</v>
      </c>
      <c r="L287" s="228">
        <f>SUM(L270:L285)</f>
        <v>-8.0035533756017685E-11</v>
      </c>
      <c r="M287" s="228">
        <f>SUM(M270:M285)</f>
        <v>0</v>
      </c>
      <c r="N287" s="228">
        <f>SUM(N267:N286)</f>
        <v>0</v>
      </c>
      <c r="O287" s="228">
        <f>SUM(O267:O286)</f>
        <v>11117.16</v>
      </c>
    </row>
    <row r="288" spans="2:15" ht="13.8" thickTop="1" x14ac:dyDescent="0.25">
      <c r="C288" s="184"/>
      <c r="D288" s="212"/>
      <c r="E288" s="212"/>
      <c r="F288" s="221"/>
      <c r="G288" s="212"/>
      <c r="H288" s="225"/>
      <c r="I288" s="212"/>
      <c r="J288" s="212"/>
      <c r="K288" s="212"/>
      <c r="L288" s="212"/>
      <c r="M288" s="212"/>
      <c r="N288" s="212"/>
      <c r="O288" s="212"/>
    </row>
    <row r="289" spans="1:15" x14ac:dyDescent="0.25">
      <c r="A289" s="224" t="s">
        <v>290</v>
      </c>
      <c r="C289" s="212"/>
      <c r="D289" s="213"/>
      <c r="E289" s="213"/>
      <c r="F289" s="221"/>
      <c r="G289" s="215"/>
      <c r="H289" s="216"/>
      <c r="I289" s="215"/>
      <c r="J289" s="215"/>
      <c r="K289" s="215"/>
      <c r="L289" s="213"/>
      <c r="M289" s="213"/>
      <c r="N289" s="213"/>
      <c r="O289" s="213"/>
    </row>
    <row r="290" spans="1:15" hidden="1" x14ac:dyDescent="0.25">
      <c r="B290" s="184" t="s">
        <v>291</v>
      </c>
      <c r="C290" s="212">
        <v>10000000</v>
      </c>
      <c r="D290" s="221">
        <v>-3587988.18</v>
      </c>
      <c r="E290" s="213"/>
      <c r="F290" s="221">
        <f>1490667.33+4228928.57+685640.92+6775</f>
        <v>6412011.8200000003</v>
      </c>
      <c r="G290" s="222">
        <v>0</v>
      </c>
      <c r="H290" s="223">
        <v>0</v>
      </c>
      <c r="I290" s="222">
        <v>0</v>
      </c>
      <c r="J290" s="222">
        <v>0</v>
      </c>
      <c r="K290" s="222">
        <v>0</v>
      </c>
      <c r="L290" s="221">
        <f>G290-H290-I290-J290-K290</f>
        <v>0</v>
      </c>
      <c r="M290" s="221"/>
      <c r="N290" s="221"/>
      <c r="O290" s="221">
        <f>H288+K288</f>
        <v>0</v>
      </c>
    </row>
    <row r="291" spans="1:15" x14ac:dyDescent="0.25">
      <c r="B291" s="224" t="s">
        <v>201</v>
      </c>
      <c r="C291" s="212"/>
      <c r="D291" s="213"/>
      <c r="E291" s="213"/>
      <c r="F291" s="221"/>
      <c r="G291" s="215"/>
      <c r="H291" s="216"/>
      <c r="I291" s="215"/>
      <c r="J291" s="215"/>
      <c r="K291" s="215"/>
      <c r="L291" s="221"/>
      <c r="M291" s="221"/>
      <c r="N291" s="221"/>
      <c r="O291" s="221"/>
    </row>
    <row r="292" spans="1:15" hidden="1" x14ac:dyDescent="0.25">
      <c r="B292" s="184" t="s">
        <v>202</v>
      </c>
      <c r="C292" s="212">
        <v>7300000</v>
      </c>
      <c r="D292" s="213"/>
      <c r="E292" s="213"/>
      <c r="F292" s="221">
        <f>1586225.13+1035205.6+2985974.53+1290489.45+235900.14+166205.15</f>
        <v>7300000</v>
      </c>
      <c r="G292" s="222">
        <v>0</v>
      </c>
      <c r="H292" s="223">
        <v>0</v>
      </c>
      <c r="I292" s="222">
        <v>0</v>
      </c>
      <c r="J292" s="222">
        <v>0</v>
      </c>
      <c r="K292" s="222">
        <v>0</v>
      </c>
      <c r="L292" s="221">
        <f>G292-H292-I292-J292</f>
        <v>0</v>
      </c>
      <c r="M292" s="221"/>
      <c r="N292" s="221"/>
      <c r="O292" s="221">
        <f>H292+I292+J292+K292</f>
        <v>0</v>
      </c>
    </row>
    <row r="293" spans="1:15" ht="13.5" customHeight="1" x14ac:dyDescent="0.25">
      <c r="B293" s="184" t="s">
        <v>203</v>
      </c>
      <c r="C293" s="212">
        <v>2674000</v>
      </c>
      <c r="E293" s="185">
        <v>-800000</v>
      </c>
      <c r="F293" s="226">
        <f>247579.5+271847.12+26480.3+18123.72+1798.8+65682.01+467252.3+681184.63+1679.43+51875.56+24575.41+271.73+679.68</f>
        <v>1859030.1899999997</v>
      </c>
      <c r="G293" s="222">
        <v>14969.809999999772</v>
      </c>
      <c r="H293" s="223">
        <v>14969.81</v>
      </c>
      <c r="I293" s="222">
        <v>0</v>
      </c>
      <c r="J293" s="222">
        <v>0</v>
      </c>
      <c r="K293" s="222">
        <v>0</v>
      </c>
      <c r="L293" s="221">
        <f t="shared" ref="L293:L302" si="42">G293-H293-I293-J293-K293</f>
        <v>-2.2737367544323206E-10</v>
      </c>
      <c r="M293" s="221">
        <f>H293-N293-O293</f>
        <v>0</v>
      </c>
      <c r="N293" s="221">
        <v>0</v>
      </c>
      <c r="O293" s="221">
        <v>14969.81</v>
      </c>
    </row>
    <row r="294" spans="1:15" hidden="1" x14ac:dyDescent="0.25">
      <c r="B294" s="184" t="s">
        <v>204</v>
      </c>
      <c r="C294" s="212">
        <v>645000</v>
      </c>
      <c r="D294" s="213"/>
      <c r="E294" s="213"/>
      <c r="F294" s="221">
        <f>552010.38+92989.62</f>
        <v>645000</v>
      </c>
      <c r="G294" s="222">
        <v>0</v>
      </c>
      <c r="H294" s="223">
        <v>0</v>
      </c>
      <c r="I294" s="222">
        <v>0</v>
      </c>
      <c r="J294" s="222">
        <v>0</v>
      </c>
      <c r="K294" s="222">
        <v>0</v>
      </c>
      <c r="L294" s="221">
        <f t="shared" si="42"/>
        <v>0</v>
      </c>
      <c r="M294" s="221"/>
      <c r="N294" s="221"/>
      <c r="O294" s="221">
        <f t="shared" ref="O294:O302" si="43">H294+I294+J294+K294</f>
        <v>0</v>
      </c>
    </row>
    <row r="295" spans="1:15" hidden="1" x14ac:dyDescent="0.25">
      <c r="B295" s="184" t="s">
        <v>205</v>
      </c>
      <c r="C295" s="212">
        <v>1451000</v>
      </c>
      <c r="D295" s="221">
        <v>-0.4</v>
      </c>
      <c r="E295" s="213"/>
      <c r="F295" s="221">
        <f>72685.58+84332.3+18769.98+600591.65+200303.9+189111.37+27678.28+5000+96937.87+155588.67</f>
        <v>1450999.6</v>
      </c>
      <c r="G295" s="222">
        <v>0</v>
      </c>
      <c r="H295" s="223">
        <v>0</v>
      </c>
      <c r="I295" s="222">
        <v>0</v>
      </c>
      <c r="J295" s="222">
        <v>0</v>
      </c>
      <c r="K295" s="222">
        <v>0</v>
      </c>
      <c r="L295" s="221">
        <f t="shared" si="42"/>
        <v>0</v>
      </c>
      <c r="M295" s="221"/>
      <c r="N295" s="221"/>
      <c r="O295" s="221">
        <f t="shared" si="43"/>
        <v>0</v>
      </c>
    </row>
    <row r="296" spans="1:15" hidden="1" x14ac:dyDescent="0.25">
      <c r="B296" s="184" t="s">
        <v>206</v>
      </c>
      <c r="C296" s="212">
        <v>318000</v>
      </c>
      <c r="D296" s="213"/>
      <c r="E296" s="213"/>
      <c r="F296" s="221">
        <f>8056.72+39424.28+260025.8+4241+6252.2</f>
        <v>318000</v>
      </c>
      <c r="G296" s="222">
        <v>0</v>
      </c>
      <c r="H296" s="223">
        <v>0</v>
      </c>
      <c r="I296" s="222">
        <v>0</v>
      </c>
      <c r="J296" s="222">
        <v>0</v>
      </c>
      <c r="K296" s="222">
        <v>0</v>
      </c>
      <c r="L296" s="221">
        <f t="shared" si="42"/>
        <v>0</v>
      </c>
      <c r="M296" s="221"/>
      <c r="N296" s="221"/>
      <c r="O296" s="221">
        <f t="shared" si="43"/>
        <v>0</v>
      </c>
    </row>
    <row r="297" spans="1:15" hidden="1" x14ac:dyDescent="0.25">
      <c r="B297" s="184" t="s">
        <v>207</v>
      </c>
      <c r="C297" s="212">
        <v>660000</v>
      </c>
      <c r="D297" s="213"/>
      <c r="E297" s="213"/>
      <c r="F297" s="221">
        <f>7000+316983.72+195053.08+17200.1+123763.1</f>
        <v>659999.99999999988</v>
      </c>
      <c r="G297" s="222">
        <v>0</v>
      </c>
      <c r="H297" s="223">
        <v>0</v>
      </c>
      <c r="I297" s="222">
        <v>0</v>
      </c>
      <c r="J297" s="222">
        <v>0</v>
      </c>
      <c r="K297" s="222">
        <v>0</v>
      </c>
      <c r="L297" s="221">
        <f t="shared" si="42"/>
        <v>0</v>
      </c>
      <c r="M297" s="221"/>
      <c r="N297" s="221"/>
      <c r="O297" s="221">
        <f t="shared" si="43"/>
        <v>0</v>
      </c>
    </row>
    <row r="298" spans="1:15" hidden="1" x14ac:dyDescent="0.25">
      <c r="B298" s="184" t="s">
        <v>208</v>
      </c>
      <c r="C298" s="212">
        <v>410000</v>
      </c>
      <c r="D298" s="213"/>
      <c r="E298" s="213"/>
      <c r="F298" s="221">
        <f>286501.5+123498.5</f>
        <v>410000</v>
      </c>
      <c r="G298" s="222">
        <v>0</v>
      </c>
      <c r="H298" s="223">
        <v>0</v>
      </c>
      <c r="I298" s="222">
        <v>0</v>
      </c>
      <c r="J298" s="222">
        <v>0</v>
      </c>
      <c r="K298" s="222">
        <v>0</v>
      </c>
      <c r="L298" s="221">
        <f t="shared" si="42"/>
        <v>0</v>
      </c>
      <c r="M298" s="221"/>
      <c r="N298" s="221"/>
      <c r="O298" s="221">
        <f t="shared" si="43"/>
        <v>0</v>
      </c>
    </row>
    <row r="299" spans="1:15" hidden="1" x14ac:dyDescent="0.25">
      <c r="B299" s="184" t="s">
        <v>209</v>
      </c>
      <c r="C299" s="212">
        <v>645000</v>
      </c>
      <c r="D299" s="213"/>
      <c r="E299" s="213"/>
      <c r="F299" s="221">
        <f>314260.2+312045.14+13335+5359.66</f>
        <v>645000.00000000012</v>
      </c>
      <c r="G299" s="222">
        <v>0</v>
      </c>
      <c r="H299" s="223">
        <v>0</v>
      </c>
      <c r="I299" s="222">
        <v>0</v>
      </c>
      <c r="J299" s="222">
        <v>0</v>
      </c>
      <c r="K299" s="222">
        <f>[2]FSU!K170</f>
        <v>0</v>
      </c>
      <c r="L299" s="221">
        <f>G299-H299-I299-J299-K299</f>
        <v>0</v>
      </c>
      <c r="M299" s="221"/>
      <c r="N299" s="221"/>
      <c r="O299" s="221">
        <f t="shared" si="43"/>
        <v>0</v>
      </c>
    </row>
    <row r="300" spans="1:15" hidden="1" x14ac:dyDescent="0.25">
      <c r="B300" s="184" t="s">
        <v>226</v>
      </c>
      <c r="C300" s="212">
        <v>536000</v>
      </c>
      <c r="D300" s="213"/>
      <c r="E300" s="213"/>
      <c r="F300" s="221">
        <f>248700.5+287299.5</f>
        <v>536000</v>
      </c>
      <c r="G300" s="222">
        <v>0</v>
      </c>
      <c r="H300" s="223">
        <v>0</v>
      </c>
      <c r="I300" s="222">
        <v>0</v>
      </c>
      <c r="J300" s="222">
        <v>0</v>
      </c>
      <c r="K300" s="222">
        <f>[2]SU!K151</f>
        <v>0</v>
      </c>
      <c r="L300" s="221">
        <f t="shared" si="42"/>
        <v>0</v>
      </c>
      <c r="M300" s="221"/>
      <c r="N300" s="221"/>
      <c r="O300" s="221">
        <f t="shared" si="43"/>
        <v>0</v>
      </c>
    </row>
    <row r="301" spans="1:15" hidden="1" x14ac:dyDescent="0.25">
      <c r="B301" s="184" t="s">
        <v>211</v>
      </c>
      <c r="C301" s="212">
        <v>1589000</v>
      </c>
      <c r="D301" s="213"/>
      <c r="E301" s="213"/>
      <c r="F301" s="221">
        <f>1800+509723+84116.52+68578+170040.86+15741+3765+650035.62+75181.61+10018.39</f>
        <v>1589000</v>
      </c>
      <c r="G301" s="222">
        <v>0</v>
      </c>
      <c r="H301" s="223">
        <v>0</v>
      </c>
      <c r="I301" s="222">
        <v>0</v>
      </c>
      <c r="J301" s="222">
        <v>0</v>
      </c>
      <c r="K301" s="222">
        <v>0</v>
      </c>
      <c r="L301" s="221">
        <f t="shared" si="42"/>
        <v>0</v>
      </c>
      <c r="M301" s="221"/>
      <c r="N301" s="221"/>
      <c r="O301" s="221">
        <f t="shared" si="43"/>
        <v>0</v>
      </c>
    </row>
    <row r="302" spans="1:15" hidden="1" x14ac:dyDescent="0.25">
      <c r="B302" s="184" t="s">
        <v>212</v>
      </c>
      <c r="C302" s="212">
        <v>425000</v>
      </c>
      <c r="D302" s="213"/>
      <c r="E302" s="213"/>
      <c r="F302" s="221">
        <f>46860+128116+250024</f>
        <v>425000</v>
      </c>
      <c r="G302" s="222">
        <v>0</v>
      </c>
      <c r="H302" s="223">
        <v>0</v>
      </c>
      <c r="I302" s="222">
        <v>0</v>
      </c>
      <c r="J302" s="222">
        <v>0</v>
      </c>
      <c r="K302" s="222">
        <v>0</v>
      </c>
      <c r="L302" s="221">
        <f t="shared" si="42"/>
        <v>0</v>
      </c>
      <c r="M302" s="221"/>
      <c r="N302" s="221"/>
      <c r="O302" s="221">
        <f t="shared" si="43"/>
        <v>0</v>
      </c>
    </row>
    <row r="303" spans="1:15" hidden="1" x14ac:dyDescent="0.25">
      <c r="B303" s="224" t="s">
        <v>216</v>
      </c>
      <c r="C303" s="212">
        <v>347000</v>
      </c>
      <c r="D303" s="221"/>
      <c r="E303" s="221">
        <f>800000-800000-90000-175000-82000+80000-80000</f>
        <v>-347000</v>
      </c>
      <c r="F303" s="226"/>
      <c r="G303" s="222"/>
      <c r="H303" s="223"/>
      <c r="I303" s="222"/>
      <c r="J303" s="222"/>
      <c r="K303" s="222"/>
      <c r="L303" s="221"/>
      <c r="M303" s="221"/>
      <c r="N303" s="221"/>
      <c r="O303" s="221"/>
    </row>
    <row r="304" spans="1:15" ht="12.75" hidden="1" customHeight="1" x14ac:dyDescent="0.25">
      <c r="B304" s="184" t="s">
        <v>292</v>
      </c>
      <c r="C304" s="212"/>
      <c r="E304" s="221">
        <v>800000</v>
      </c>
      <c r="F304" s="226">
        <f>81417.06+68250.66+63946.13+353280.72+105599.62+3987.61+108205.87+15312.33</f>
        <v>799999.99999999988</v>
      </c>
      <c r="G304" s="222">
        <v>0</v>
      </c>
      <c r="H304" s="223">
        <v>0</v>
      </c>
      <c r="I304" s="222">
        <v>0</v>
      </c>
      <c r="J304" s="222">
        <v>0</v>
      </c>
      <c r="K304" s="222">
        <v>0</v>
      </c>
      <c r="L304" s="221">
        <f>G304-H304-I304-J304-K304</f>
        <v>0</v>
      </c>
      <c r="M304" s="221"/>
      <c r="N304" s="221"/>
      <c r="O304" s="221">
        <f>H304+I304+J304+K304</f>
        <v>0</v>
      </c>
    </row>
    <row r="305" spans="1:15" hidden="1" x14ac:dyDescent="0.25">
      <c r="B305" s="184" t="s">
        <v>293</v>
      </c>
      <c r="C305" s="212"/>
      <c r="E305" s="221">
        <v>90000</v>
      </c>
      <c r="F305" s="226">
        <f>71795.27+18204.73</f>
        <v>90000</v>
      </c>
      <c r="G305" s="222">
        <v>0</v>
      </c>
      <c r="H305" s="223">
        <v>0</v>
      </c>
      <c r="I305" s="222">
        <v>0</v>
      </c>
      <c r="J305" s="222">
        <v>0</v>
      </c>
      <c r="K305" s="222">
        <v>0</v>
      </c>
      <c r="L305" s="221">
        <f>G305-H305-I305-J305-K305</f>
        <v>0</v>
      </c>
      <c r="M305" s="221"/>
      <c r="N305" s="221"/>
      <c r="O305" s="221">
        <f>H305+I305+J305+K305</f>
        <v>0</v>
      </c>
    </row>
    <row r="306" spans="1:15" hidden="1" x14ac:dyDescent="0.25">
      <c r="B306" s="184" t="s">
        <v>294</v>
      </c>
      <c r="C306" s="212"/>
      <c r="E306" s="221">
        <f>175000+80000</f>
        <v>255000</v>
      </c>
      <c r="F306" s="226">
        <f>248792.86+6207.14</f>
        <v>255000</v>
      </c>
      <c r="G306" s="222">
        <v>0</v>
      </c>
      <c r="H306" s="223">
        <v>0</v>
      </c>
      <c r="I306" s="222">
        <v>0</v>
      </c>
      <c r="J306" s="222">
        <v>0</v>
      </c>
      <c r="K306" s="222">
        <v>0</v>
      </c>
      <c r="L306" s="221">
        <f>G306-H306-I306-J306-K306</f>
        <v>0</v>
      </c>
      <c r="M306" s="221"/>
      <c r="N306" s="221"/>
      <c r="O306" s="221">
        <f>H306+I306+J306+K306</f>
        <v>0</v>
      </c>
    </row>
    <row r="307" spans="1:15" x14ac:dyDescent="0.25">
      <c r="B307" s="224"/>
      <c r="C307" s="212"/>
      <c r="D307" s="221"/>
      <c r="E307" s="213"/>
      <c r="F307" s="221"/>
      <c r="G307" s="215"/>
      <c r="H307" s="216"/>
      <c r="I307" s="215"/>
      <c r="J307" s="215"/>
      <c r="K307" s="215"/>
      <c r="L307" s="213"/>
      <c r="M307" s="213"/>
      <c r="N307" s="213"/>
      <c r="O307" s="213"/>
    </row>
    <row r="308" spans="1:15" ht="13.8" thickBot="1" x14ac:dyDescent="0.3">
      <c r="B308" s="227" t="s">
        <v>295</v>
      </c>
      <c r="C308" s="228">
        <f>SUM(C290:C306)</f>
        <v>27000000</v>
      </c>
      <c r="D308" s="228">
        <f>SUM(D289:D306)</f>
        <v>-3587988.58</v>
      </c>
      <c r="E308" s="228">
        <f>SUM(E289:E306)</f>
        <v>-2000</v>
      </c>
      <c r="F308" s="251">
        <f t="shared" ref="F308:O308" si="44">SUM(F290:F306)</f>
        <v>23395041.609999999</v>
      </c>
      <c r="G308" s="228">
        <f t="shared" si="44"/>
        <v>14969.809999999772</v>
      </c>
      <c r="H308" s="228">
        <f t="shared" si="44"/>
        <v>14969.81</v>
      </c>
      <c r="I308" s="228">
        <f t="shared" si="44"/>
        <v>0</v>
      </c>
      <c r="J308" s="228">
        <f t="shared" si="44"/>
        <v>0</v>
      </c>
      <c r="K308" s="228">
        <f t="shared" si="44"/>
        <v>0</v>
      </c>
      <c r="L308" s="228">
        <f t="shared" si="44"/>
        <v>-2.2737367544323206E-10</v>
      </c>
      <c r="M308" s="228">
        <f t="shared" si="44"/>
        <v>0</v>
      </c>
      <c r="N308" s="228">
        <f t="shared" si="44"/>
        <v>0</v>
      </c>
      <c r="O308" s="228">
        <f t="shared" si="44"/>
        <v>14969.81</v>
      </c>
    </row>
    <row r="309" spans="1:15" ht="13.8" thickTop="1" x14ac:dyDescent="0.25">
      <c r="B309" s="224"/>
      <c r="C309" s="212"/>
      <c r="D309" s="213"/>
      <c r="E309" s="213"/>
      <c r="F309" s="250"/>
      <c r="G309" s="215"/>
      <c r="H309" s="216"/>
      <c r="I309" s="215"/>
      <c r="J309" s="215"/>
      <c r="K309" s="215"/>
      <c r="L309" s="213"/>
      <c r="M309" s="213"/>
      <c r="N309" s="213"/>
      <c r="O309" s="213"/>
    </row>
    <row r="310" spans="1:15" x14ac:dyDescent="0.25">
      <c r="A310" s="224" t="s">
        <v>296</v>
      </c>
      <c r="C310" s="212"/>
      <c r="D310" s="213"/>
      <c r="E310" s="215"/>
      <c r="F310" s="221"/>
      <c r="G310" s="213"/>
      <c r="H310" s="217"/>
      <c r="I310" s="213"/>
      <c r="J310" s="213"/>
      <c r="K310" s="213"/>
      <c r="L310" s="213"/>
      <c r="M310" s="213"/>
      <c r="N310" s="213"/>
      <c r="O310" s="213"/>
    </row>
    <row r="311" spans="1:15" hidden="1" x14ac:dyDescent="0.25">
      <c r="A311" s="224"/>
      <c r="B311" s="184" t="s">
        <v>297</v>
      </c>
      <c r="C311" s="212">
        <v>9000000</v>
      </c>
      <c r="D311" s="213"/>
      <c r="E311" s="215"/>
      <c r="F311" s="221">
        <f>5977649.54+217797.59+2137758.66+6607.32+14930.21+31859.85+29432.82+5202.72+6795.29+69907.85+22554.51+6238.44+282835.57+163400.25+5340.99+21688.39</f>
        <v>9000000</v>
      </c>
      <c r="G311" s="222">
        <v>0</v>
      </c>
      <c r="H311" s="223">
        <v>0</v>
      </c>
      <c r="I311" s="222"/>
      <c r="J311" s="222">
        <v>0</v>
      </c>
      <c r="K311" s="222">
        <v>0</v>
      </c>
      <c r="L311" s="221">
        <f>G311-H311-I311-J311-K311</f>
        <v>0</v>
      </c>
      <c r="M311" s="221"/>
      <c r="N311" s="221"/>
      <c r="O311" s="221">
        <f>H311+I311+J311+K311</f>
        <v>0</v>
      </c>
    </row>
    <row r="312" spans="1:15" hidden="1" x14ac:dyDescent="0.25">
      <c r="A312" s="224"/>
      <c r="B312" s="184" t="s">
        <v>298</v>
      </c>
      <c r="C312" s="212">
        <v>1000000</v>
      </c>
      <c r="D312" s="213"/>
      <c r="E312" s="215"/>
      <c r="F312" s="221">
        <f>16000+12600+34902+936498</f>
        <v>1000000</v>
      </c>
      <c r="G312" s="222">
        <v>0</v>
      </c>
      <c r="H312" s="223">
        <v>0</v>
      </c>
      <c r="I312" s="222"/>
      <c r="J312" s="222">
        <v>0</v>
      </c>
      <c r="K312" s="222">
        <v>0</v>
      </c>
      <c r="L312" s="221">
        <f>G312-H312-I312-J312</f>
        <v>0</v>
      </c>
      <c r="M312" s="221"/>
      <c r="N312" s="221"/>
      <c r="O312" s="221">
        <f>H312+I312+J312+K312</f>
        <v>0</v>
      </c>
    </row>
    <row r="313" spans="1:15" x14ac:dyDescent="0.25">
      <c r="A313" s="224"/>
      <c r="B313" s="224" t="s">
        <v>201</v>
      </c>
      <c r="C313" s="212"/>
      <c r="D313" s="213"/>
      <c r="E313" s="215"/>
      <c r="F313" s="221"/>
      <c r="G313" s="221"/>
      <c r="H313" s="226"/>
      <c r="I313" s="221"/>
      <c r="J313" s="221"/>
      <c r="K313" s="221"/>
      <c r="L313" s="221"/>
      <c r="M313" s="221"/>
      <c r="N313" s="221"/>
      <c r="O313" s="221"/>
    </row>
    <row r="314" spans="1:15" ht="12.75" hidden="1" customHeight="1" x14ac:dyDescent="0.25">
      <c r="A314" s="224"/>
      <c r="B314" s="184" t="s">
        <v>202</v>
      </c>
      <c r="C314" s="212">
        <v>7060000</v>
      </c>
      <c r="D314" s="213"/>
      <c r="E314" s="215"/>
      <c r="F314" s="221">
        <f>1546923.37+1447116.35+1273174.6+1135336.22+666923.08+196580.58+793945.8</f>
        <v>7060000</v>
      </c>
      <c r="G314" s="221">
        <v>0</v>
      </c>
      <c r="H314" s="226">
        <v>0</v>
      </c>
      <c r="I314" s="221">
        <v>0</v>
      </c>
      <c r="J314" s="221">
        <v>0</v>
      </c>
      <c r="K314" s="221">
        <v>0</v>
      </c>
      <c r="L314" s="221">
        <v>0</v>
      </c>
      <c r="M314" s="221"/>
      <c r="N314" s="221"/>
      <c r="O314" s="221">
        <f>H314+I314+J314+K314</f>
        <v>0</v>
      </c>
    </row>
    <row r="315" spans="1:15" x14ac:dyDescent="0.25">
      <c r="A315" s="224"/>
      <c r="B315" s="184" t="s">
        <v>203</v>
      </c>
      <c r="C315" s="212">
        <v>2515000</v>
      </c>
      <c r="D315" s="221"/>
      <c r="E315" s="215"/>
      <c r="F315" s="221">
        <f>95799+121126.6+382459+312204.5+91850.75+520650.28+194790.24+138986.95+1242.65+83400.01+10990.51+50953.36+313263.98+113226.25+37149.1+20376.32+588+7140+4708.2+235.2</f>
        <v>2501140.9000000004</v>
      </c>
      <c r="G315" s="221">
        <v>13859.099999999868</v>
      </c>
      <c r="H315" s="226">
        <v>13859.1</v>
      </c>
      <c r="I315" s="221">
        <f>[4]UMB!I407</f>
        <v>0</v>
      </c>
      <c r="J315" s="221">
        <f>[4]UMB!J407</f>
        <v>0</v>
      </c>
      <c r="K315" s="221">
        <f>[4]UMB!K407</f>
        <v>0</v>
      </c>
      <c r="L315" s="221">
        <f t="shared" ref="L315:L325" si="45">G315-H315-I315-J315-K315</f>
        <v>-1.3278622645884752E-10</v>
      </c>
      <c r="M315" s="221">
        <f>H315-N315-O315</f>
        <v>0</v>
      </c>
      <c r="N315" s="221">
        <v>0</v>
      </c>
      <c r="O315" s="221">
        <v>13859.1</v>
      </c>
    </row>
    <row r="316" spans="1:15" hidden="1" x14ac:dyDescent="0.25">
      <c r="A316" s="224"/>
      <c r="B316" s="184" t="s">
        <v>299</v>
      </c>
      <c r="C316" s="212">
        <v>568000</v>
      </c>
      <c r="D316" s="221"/>
      <c r="E316" s="222">
        <v>-311231.58</v>
      </c>
      <c r="F316" s="221">
        <f>56077+12000+96109.43+78749.97+1280.78+9591.83+2959.41</f>
        <v>256768.41999999998</v>
      </c>
      <c r="G316" s="221">
        <f>[4]UMBI!F65</f>
        <v>0</v>
      </c>
      <c r="H316" s="226">
        <v>0</v>
      </c>
      <c r="I316" s="221">
        <f>[4]UMBI!I65</f>
        <v>0</v>
      </c>
      <c r="J316" s="221">
        <f>[4]UMBI!J65</f>
        <v>0</v>
      </c>
      <c r="K316" s="221">
        <f>[4]UMBI!K65</f>
        <v>0</v>
      </c>
      <c r="L316" s="221">
        <f t="shared" si="45"/>
        <v>0</v>
      </c>
      <c r="M316" s="221"/>
      <c r="N316" s="221"/>
      <c r="O316" s="221">
        <f t="shared" ref="O316:O325" si="46">H316+I316+J316+K316</f>
        <v>0</v>
      </c>
    </row>
    <row r="317" spans="1:15" hidden="1" x14ac:dyDescent="0.25">
      <c r="A317" s="224"/>
      <c r="B317" s="184" t="s">
        <v>204</v>
      </c>
      <c r="C317" s="212">
        <v>642000</v>
      </c>
      <c r="D317" s="221">
        <v>-76885.95</v>
      </c>
      <c r="E317" s="222"/>
      <c r="F317" s="226">
        <f>192000+99265.52+176366.44+44494.69+35172.5+1180+8589.9+8045</f>
        <v>565114.05000000005</v>
      </c>
      <c r="G317" s="222">
        <v>0</v>
      </c>
      <c r="H317" s="223">
        <v>0</v>
      </c>
      <c r="I317" s="222"/>
      <c r="J317" s="222">
        <v>0</v>
      </c>
      <c r="K317" s="222">
        <v>0</v>
      </c>
      <c r="L317" s="221">
        <f t="shared" si="45"/>
        <v>0</v>
      </c>
      <c r="M317" s="221"/>
      <c r="N317" s="221"/>
      <c r="O317" s="221">
        <f t="shared" si="46"/>
        <v>0</v>
      </c>
    </row>
    <row r="318" spans="1:15" hidden="1" x14ac:dyDescent="0.25">
      <c r="A318" s="224"/>
      <c r="B318" s="184" t="s">
        <v>205</v>
      </c>
      <c r="C318" s="212">
        <v>1247000</v>
      </c>
      <c r="D318" s="221"/>
      <c r="E318" s="215"/>
      <c r="F318" s="221">
        <f>240381.96+696788.93+130744.47+128930.15+10239.46+279.7+39635.33</f>
        <v>1247000</v>
      </c>
      <c r="G318" s="222">
        <v>0</v>
      </c>
      <c r="H318" s="223">
        <v>0</v>
      </c>
      <c r="I318" s="222"/>
      <c r="J318" s="222">
        <v>0</v>
      </c>
      <c r="K318" s="222">
        <v>0</v>
      </c>
      <c r="L318" s="221">
        <f t="shared" si="45"/>
        <v>0</v>
      </c>
      <c r="M318" s="221"/>
      <c r="N318" s="221"/>
      <c r="O318" s="221">
        <f t="shared" si="46"/>
        <v>0</v>
      </c>
    </row>
    <row r="319" spans="1:15" hidden="1" x14ac:dyDescent="0.25">
      <c r="A319" s="224"/>
      <c r="B319" s="184" t="s">
        <v>206</v>
      </c>
      <c r="C319" s="212">
        <v>317000</v>
      </c>
      <c r="D319" s="221"/>
      <c r="E319" s="215"/>
      <c r="F319" s="221">
        <f>11475+138157.46+57562.54+109805</f>
        <v>317000</v>
      </c>
      <c r="G319" s="222">
        <v>0</v>
      </c>
      <c r="H319" s="223">
        <v>0</v>
      </c>
      <c r="I319" s="222"/>
      <c r="J319" s="222">
        <v>0</v>
      </c>
      <c r="K319" s="222">
        <v>0</v>
      </c>
      <c r="L319" s="221">
        <f t="shared" si="45"/>
        <v>0</v>
      </c>
      <c r="M319" s="221"/>
      <c r="N319" s="221"/>
      <c r="O319" s="221">
        <f t="shared" si="46"/>
        <v>0</v>
      </c>
    </row>
    <row r="320" spans="1:15" hidden="1" x14ac:dyDescent="0.25">
      <c r="A320" s="224"/>
      <c r="B320" s="184" t="s">
        <v>207</v>
      </c>
      <c r="C320" s="212">
        <v>554000</v>
      </c>
      <c r="D320" s="221"/>
      <c r="E320" s="215"/>
      <c r="F320" s="221">
        <f>286415+179353.1-127025.1+82343.07+132381.4+532.53</f>
        <v>554000</v>
      </c>
      <c r="G320" s="222">
        <v>0</v>
      </c>
      <c r="H320" s="223">
        <v>0</v>
      </c>
      <c r="I320" s="222"/>
      <c r="J320" s="222">
        <v>0</v>
      </c>
      <c r="K320" s="222">
        <v>0</v>
      </c>
      <c r="L320" s="221">
        <f t="shared" si="45"/>
        <v>0</v>
      </c>
      <c r="M320" s="221"/>
      <c r="N320" s="221"/>
      <c r="O320" s="221">
        <f t="shared" si="46"/>
        <v>0</v>
      </c>
    </row>
    <row r="321" spans="1:15" ht="12" hidden="1" customHeight="1" x14ac:dyDescent="0.25">
      <c r="A321" s="224"/>
      <c r="B321" s="184" t="s">
        <v>208</v>
      </c>
      <c r="C321" s="212">
        <v>409000</v>
      </c>
      <c r="D321" s="226">
        <v>-8568.82</v>
      </c>
      <c r="E321" s="215"/>
      <c r="F321" s="226">
        <f>108040+77049+82340+68444.01+7410+36958.17+20190</f>
        <v>400431.18</v>
      </c>
      <c r="G321" s="222">
        <v>0</v>
      </c>
      <c r="H321" s="223">
        <v>0</v>
      </c>
      <c r="I321" s="222"/>
      <c r="J321" s="222">
        <v>0</v>
      </c>
      <c r="K321" s="222">
        <v>0</v>
      </c>
      <c r="L321" s="221">
        <f t="shared" si="45"/>
        <v>0</v>
      </c>
      <c r="M321" s="221"/>
      <c r="N321" s="221"/>
      <c r="O321" s="221">
        <f t="shared" si="46"/>
        <v>0</v>
      </c>
    </row>
    <row r="322" spans="1:15" hidden="1" x14ac:dyDescent="0.25">
      <c r="A322" s="224"/>
      <c r="B322" s="184" t="s">
        <v>209</v>
      </c>
      <c r="C322" s="212">
        <v>645000</v>
      </c>
      <c r="D322" s="196"/>
      <c r="E322" s="221">
        <f>-200000-245000</f>
        <v>-445000</v>
      </c>
      <c r="F322" s="221">
        <f>105562.16+60760.54+24788.48+8888.82</f>
        <v>200000.00000000003</v>
      </c>
      <c r="G322" s="222">
        <v>0</v>
      </c>
      <c r="H322" s="223">
        <v>0</v>
      </c>
      <c r="I322" s="222"/>
      <c r="J322" s="222">
        <v>0</v>
      </c>
      <c r="K322" s="222">
        <v>0</v>
      </c>
      <c r="L322" s="221">
        <f t="shared" si="45"/>
        <v>0</v>
      </c>
      <c r="M322" s="221"/>
      <c r="N322" s="221"/>
      <c r="O322" s="221">
        <f t="shared" si="46"/>
        <v>0</v>
      </c>
    </row>
    <row r="323" spans="1:15" hidden="1" x14ac:dyDescent="0.25">
      <c r="A323" s="224"/>
      <c r="B323" s="184" t="s">
        <v>226</v>
      </c>
      <c r="C323" s="212">
        <v>536000</v>
      </c>
      <c r="D323" s="221"/>
      <c r="E323" s="215"/>
      <c r="F323" s="221">
        <f>532299.33+3700.67</f>
        <v>536000</v>
      </c>
      <c r="G323" s="222">
        <v>0</v>
      </c>
      <c r="H323" s="223">
        <v>0</v>
      </c>
      <c r="I323" s="222"/>
      <c r="J323" s="222">
        <v>0</v>
      </c>
      <c r="K323" s="222">
        <v>0</v>
      </c>
      <c r="L323" s="221">
        <f t="shared" si="45"/>
        <v>0</v>
      </c>
      <c r="M323" s="221"/>
      <c r="N323" s="221"/>
      <c r="O323" s="221">
        <f t="shared" si="46"/>
        <v>0</v>
      </c>
    </row>
    <row r="324" spans="1:15" hidden="1" x14ac:dyDescent="0.25">
      <c r="A324" s="224"/>
      <c r="B324" s="184" t="s">
        <v>211</v>
      </c>
      <c r="C324" s="212">
        <v>1589000</v>
      </c>
      <c r="D324" s="221"/>
      <c r="E324" s="215"/>
      <c r="F324" s="221">
        <f>209782.92+216303.98+5869.82+689000+2483.6+465269.68+290</f>
        <v>1589000</v>
      </c>
      <c r="G324" s="222">
        <v>0</v>
      </c>
      <c r="H324" s="223">
        <v>0</v>
      </c>
      <c r="I324" s="222"/>
      <c r="J324" s="222">
        <v>0</v>
      </c>
      <c r="K324" s="222">
        <v>0</v>
      </c>
      <c r="L324" s="221">
        <f t="shared" si="45"/>
        <v>0</v>
      </c>
      <c r="M324" s="221"/>
      <c r="N324" s="221"/>
      <c r="O324" s="221">
        <f t="shared" si="46"/>
        <v>0</v>
      </c>
    </row>
    <row r="325" spans="1:15" hidden="1" x14ac:dyDescent="0.25">
      <c r="A325" s="224"/>
      <c r="B325" s="184" t="s">
        <v>212</v>
      </c>
      <c r="C325" s="212">
        <v>418000</v>
      </c>
      <c r="D325" s="213"/>
      <c r="E325" s="215"/>
      <c r="F325" s="221">
        <f>33775+86196.55+298028.45</f>
        <v>418000</v>
      </c>
      <c r="G325" s="222">
        <v>0</v>
      </c>
      <c r="H325" s="223">
        <v>0</v>
      </c>
      <c r="I325" s="222"/>
      <c r="J325" s="222">
        <v>0</v>
      </c>
      <c r="K325" s="222">
        <v>0</v>
      </c>
      <c r="L325" s="221">
        <f t="shared" si="45"/>
        <v>0</v>
      </c>
      <c r="M325" s="221"/>
      <c r="N325" s="221"/>
      <c r="O325" s="221">
        <f t="shared" si="46"/>
        <v>0</v>
      </c>
    </row>
    <row r="326" spans="1:15" hidden="1" x14ac:dyDescent="0.25">
      <c r="A326" s="224"/>
      <c r="B326" s="224" t="s">
        <v>216</v>
      </c>
      <c r="C326" s="212">
        <v>500000</v>
      </c>
      <c r="E326" s="221">
        <f>200000+245000-200000-245000-30290-23236-75000-250000-68000-5000-48474</f>
        <v>-500000</v>
      </c>
      <c r="F326" s="221"/>
      <c r="G326" s="221">
        <f>'[4]Emergency Funds'!G152</f>
        <v>0</v>
      </c>
      <c r="H326" s="226"/>
      <c r="I326" s="221"/>
      <c r="J326" s="221"/>
      <c r="K326" s="221"/>
      <c r="L326" s="221"/>
      <c r="M326" s="221"/>
      <c r="N326" s="221"/>
      <c r="O326" s="221"/>
    </row>
    <row r="327" spans="1:15" hidden="1" x14ac:dyDescent="0.25">
      <c r="A327" s="224"/>
      <c r="B327" s="184" t="s">
        <v>300</v>
      </c>
      <c r="C327" s="212"/>
      <c r="E327" s="221">
        <v>75000</v>
      </c>
      <c r="F327" s="221">
        <f>75000</f>
        <v>75000</v>
      </c>
      <c r="G327" s="221">
        <v>0</v>
      </c>
      <c r="H327" s="226">
        <v>0</v>
      </c>
      <c r="I327" s="221">
        <v>0</v>
      </c>
      <c r="J327" s="221">
        <v>0</v>
      </c>
      <c r="K327" s="221">
        <v>0</v>
      </c>
      <c r="L327" s="221">
        <v>0</v>
      </c>
      <c r="M327" s="221"/>
      <c r="N327" s="221"/>
      <c r="O327" s="221">
        <f t="shared" ref="O327:O332" si="47">H327+I327+J327+K327</f>
        <v>0</v>
      </c>
    </row>
    <row r="328" spans="1:15" hidden="1" x14ac:dyDescent="0.25">
      <c r="A328" s="224"/>
      <c r="B328" s="184" t="s">
        <v>301</v>
      </c>
      <c r="C328" s="194"/>
      <c r="E328" s="255">
        <f>30290+23236</f>
        <v>53526</v>
      </c>
      <c r="F328" s="221">
        <f>53526</f>
        <v>53526</v>
      </c>
      <c r="G328" s="222">
        <v>0</v>
      </c>
      <c r="H328" s="223">
        <v>0</v>
      </c>
      <c r="I328" s="222"/>
      <c r="J328" s="222">
        <v>0</v>
      </c>
      <c r="K328" s="222">
        <v>0</v>
      </c>
      <c r="L328" s="221">
        <f>G328-H328-I328-J328-K328</f>
        <v>0</v>
      </c>
      <c r="M328" s="221"/>
      <c r="N328" s="221"/>
      <c r="O328" s="221">
        <f t="shared" si="47"/>
        <v>0</v>
      </c>
    </row>
    <row r="329" spans="1:15" hidden="1" x14ac:dyDescent="0.25">
      <c r="A329" s="224"/>
      <c r="B329" s="256" t="s">
        <v>302</v>
      </c>
      <c r="C329" s="212"/>
      <c r="E329" s="221">
        <v>250000</v>
      </c>
      <c r="F329" s="221">
        <f>250000</f>
        <v>250000</v>
      </c>
      <c r="G329" s="222">
        <v>0</v>
      </c>
      <c r="H329" s="223">
        <v>0</v>
      </c>
      <c r="I329" s="222"/>
      <c r="J329" s="222">
        <v>0</v>
      </c>
      <c r="K329" s="222">
        <v>0</v>
      </c>
      <c r="L329" s="221">
        <f>G329-H329-I329-J329-K329</f>
        <v>0</v>
      </c>
      <c r="M329" s="221"/>
      <c r="N329" s="221"/>
      <c r="O329" s="221">
        <f t="shared" si="47"/>
        <v>0</v>
      </c>
    </row>
    <row r="330" spans="1:15" hidden="1" x14ac:dyDescent="0.25">
      <c r="A330" s="224"/>
      <c r="B330" s="256" t="s">
        <v>303</v>
      </c>
      <c r="C330" s="212"/>
      <c r="E330" s="221">
        <f>68000+5000-30</f>
        <v>72970</v>
      </c>
      <c r="F330" s="226">
        <f>72970</f>
        <v>72970</v>
      </c>
      <c r="G330" s="222">
        <v>0</v>
      </c>
      <c r="H330" s="223">
        <v>0</v>
      </c>
      <c r="I330" s="222"/>
      <c r="J330" s="222">
        <v>0</v>
      </c>
      <c r="K330" s="222">
        <v>0</v>
      </c>
      <c r="L330" s="221">
        <f>G330-H330-I330-J330-K330</f>
        <v>0</v>
      </c>
      <c r="M330" s="221"/>
      <c r="N330" s="221"/>
      <c r="O330" s="221">
        <f t="shared" si="47"/>
        <v>0</v>
      </c>
    </row>
    <row r="331" spans="1:15" hidden="1" x14ac:dyDescent="0.25">
      <c r="A331" s="224"/>
      <c r="B331" s="257" t="s">
        <v>304</v>
      </c>
      <c r="C331" s="212"/>
      <c r="E331" s="226">
        <v>200000</v>
      </c>
      <c r="F331" s="226">
        <v>200000</v>
      </c>
      <c r="G331" s="222">
        <v>0</v>
      </c>
      <c r="H331" s="223">
        <v>0</v>
      </c>
      <c r="I331" s="222"/>
      <c r="J331" s="222">
        <v>0</v>
      </c>
      <c r="K331" s="222">
        <v>0</v>
      </c>
      <c r="L331" s="221">
        <f>G331-H331-I331-J331-K331</f>
        <v>0</v>
      </c>
      <c r="M331" s="221"/>
      <c r="N331" s="221"/>
      <c r="O331" s="221">
        <f t="shared" si="47"/>
        <v>0</v>
      </c>
    </row>
    <row r="332" spans="1:15" hidden="1" x14ac:dyDescent="0.25">
      <c r="A332" s="224"/>
      <c r="B332" s="256" t="s">
        <v>305</v>
      </c>
      <c r="C332" s="212"/>
      <c r="E332" s="226">
        <v>245000</v>
      </c>
      <c r="F332" s="226">
        <v>245000</v>
      </c>
      <c r="G332" s="222">
        <v>0</v>
      </c>
      <c r="H332" s="223">
        <v>0</v>
      </c>
      <c r="I332" s="222"/>
      <c r="J332" s="222">
        <v>0</v>
      </c>
      <c r="K332" s="222">
        <v>0</v>
      </c>
      <c r="L332" s="221">
        <f>G332-H332-I332-J332-K332</f>
        <v>0</v>
      </c>
      <c r="M332" s="221"/>
      <c r="N332" s="221"/>
      <c r="O332" s="221">
        <f t="shared" si="47"/>
        <v>0</v>
      </c>
    </row>
    <row r="333" spans="1:15" x14ac:dyDescent="0.25">
      <c r="C333" s="212"/>
      <c r="D333" s="213"/>
      <c r="E333" s="213"/>
      <c r="F333" s="221"/>
      <c r="G333" s="215"/>
      <c r="H333" s="216"/>
      <c r="I333" s="215"/>
      <c r="J333" s="215"/>
      <c r="K333" s="215"/>
      <c r="L333" s="213"/>
      <c r="M333" s="213"/>
      <c r="N333" s="213"/>
      <c r="O333" s="213"/>
    </row>
    <row r="334" spans="1:15" ht="13.8" thickBot="1" x14ac:dyDescent="0.3">
      <c r="B334" s="227" t="s">
        <v>306</v>
      </c>
      <c r="C334" s="228">
        <f t="shared" ref="C334:K334" si="48">SUM(C311:C333)</f>
        <v>27000000</v>
      </c>
      <c r="D334" s="228">
        <f>SUM(D311:D333)</f>
        <v>-85454.76999999999</v>
      </c>
      <c r="E334" s="228">
        <f t="shared" si="48"/>
        <v>-359735.58000000007</v>
      </c>
      <c r="F334" s="251">
        <f t="shared" si="48"/>
        <v>26540950.550000001</v>
      </c>
      <c r="G334" s="228">
        <f t="shared" si="48"/>
        <v>13859.099999999868</v>
      </c>
      <c r="H334" s="228">
        <f t="shared" si="48"/>
        <v>13859.1</v>
      </c>
      <c r="I334" s="228">
        <f t="shared" si="48"/>
        <v>0</v>
      </c>
      <c r="J334" s="228">
        <f t="shared" si="48"/>
        <v>0</v>
      </c>
      <c r="K334" s="228">
        <f t="shared" si="48"/>
        <v>0</v>
      </c>
      <c r="L334" s="228">
        <f>SUM(L311:L333)</f>
        <v>-1.3278622645884752E-10</v>
      </c>
      <c r="M334" s="228">
        <f>SUM(M311:M333)</f>
        <v>0</v>
      </c>
      <c r="N334" s="228">
        <f>SUM(N311:N333)</f>
        <v>0</v>
      </c>
      <c r="O334" s="228">
        <f>SUM(O311:O333)</f>
        <v>13859.1</v>
      </c>
    </row>
    <row r="335" spans="1:15" ht="13.8" thickTop="1" x14ac:dyDescent="0.25">
      <c r="B335" s="224"/>
      <c r="C335" s="212"/>
      <c r="D335" s="212"/>
      <c r="E335" s="212"/>
      <c r="F335" s="250"/>
      <c r="G335" s="212"/>
      <c r="H335" s="225"/>
      <c r="I335" s="212"/>
      <c r="J335" s="212"/>
      <c r="K335" s="212"/>
      <c r="L335" s="212"/>
      <c r="M335" s="212"/>
      <c r="N335" s="212"/>
      <c r="O335" s="212"/>
    </row>
    <row r="336" spans="1:15" x14ac:dyDescent="0.25">
      <c r="B336" s="258" t="s">
        <v>307</v>
      </c>
      <c r="C336" s="259">
        <f t="shared" ref="C336:M336" si="49">C67+C76+C95+C119+C143+C163+C181+C203+C225+C245+C264+C334+C308+C287+C47+C25</f>
        <v>516168103</v>
      </c>
      <c r="D336" s="259">
        <f t="shared" si="49"/>
        <v>-11583509.399999999</v>
      </c>
      <c r="E336" s="259">
        <f t="shared" si="49"/>
        <v>1651730.79</v>
      </c>
      <c r="F336" s="259">
        <f t="shared" si="49"/>
        <v>374364661.56999999</v>
      </c>
      <c r="G336" s="259">
        <f t="shared" si="49"/>
        <v>131871662.81699997</v>
      </c>
      <c r="H336" s="259">
        <f t="shared" si="49"/>
        <v>51400988.009999998</v>
      </c>
      <c r="I336" s="259">
        <f t="shared" si="49"/>
        <v>6760280.4299999997</v>
      </c>
      <c r="J336" s="259">
        <f t="shared" si="49"/>
        <v>0</v>
      </c>
      <c r="K336" s="259">
        <f t="shared" si="49"/>
        <v>0</v>
      </c>
      <c r="L336" s="259">
        <f t="shared" si="49"/>
        <v>78217247.996999994</v>
      </c>
      <c r="M336" s="259">
        <f t="shared" si="49"/>
        <v>20111348.089999996</v>
      </c>
      <c r="N336" s="259">
        <f>N67+N76+N95+N119+N143+N163+N181+N203+N225+N245+N264+N334+N308+N287+N47+N25</f>
        <v>20232613.030000001</v>
      </c>
      <c r="O336" s="259">
        <f>O67+O76+O95+O119+O143+O163+O181+O203+O225+O245+O264+O334+O308+O287+O47+O25</f>
        <v>13310453.700000005</v>
      </c>
    </row>
    <row r="337" spans="1:15" x14ac:dyDescent="0.25">
      <c r="B337" s="256"/>
      <c r="C337" s="225"/>
      <c r="D337" s="225"/>
      <c r="E337" s="225"/>
      <c r="F337" s="225"/>
      <c r="G337" s="225"/>
      <c r="H337" s="225"/>
      <c r="I337" s="225"/>
      <c r="J337" s="225"/>
      <c r="K337" s="225"/>
      <c r="L337" s="225"/>
      <c r="M337" s="225"/>
      <c r="N337" s="225"/>
      <c r="O337" s="225"/>
    </row>
    <row r="338" spans="1:15" x14ac:dyDescent="0.25">
      <c r="A338" s="224" t="s">
        <v>309</v>
      </c>
      <c r="C338" s="212"/>
      <c r="D338" s="225"/>
      <c r="E338" s="225"/>
      <c r="F338" s="225"/>
      <c r="G338" s="225"/>
      <c r="H338" s="225"/>
      <c r="I338" s="225"/>
      <c r="J338" s="225"/>
      <c r="K338" s="225"/>
      <c r="L338" s="225"/>
      <c r="M338" s="225"/>
      <c r="N338" s="221"/>
      <c r="O338" s="225"/>
    </row>
    <row r="339" spans="1:15" x14ac:dyDescent="0.25">
      <c r="B339" s="256" t="s">
        <v>310</v>
      </c>
      <c r="C339" s="225">
        <v>8000000</v>
      </c>
      <c r="D339" s="225"/>
      <c r="E339" s="225"/>
      <c r="F339" s="225"/>
      <c r="G339" s="225">
        <v>8000000</v>
      </c>
      <c r="H339" s="225">
        <v>0</v>
      </c>
      <c r="I339" s="225"/>
      <c r="J339" s="225"/>
      <c r="K339" s="225"/>
      <c r="L339" s="221">
        <f>G339-H339-I339-J339-K339</f>
        <v>8000000</v>
      </c>
      <c r="M339" s="221">
        <f>H339-N339-O339</f>
        <v>0</v>
      </c>
      <c r="N339" s="221">
        <v>0</v>
      </c>
      <c r="O339" s="225"/>
    </row>
    <row r="340" spans="1:15" x14ac:dyDescent="0.25">
      <c r="B340" s="256" t="s">
        <v>311</v>
      </c>
      <c r="C340" s="225">
        <v>10000000</v>
      </c>
      <c r="D340" s="225"/>
      <c r="E340" s="225"/>
      <c r="F340" s="225"/>
      <c r="G340" s="225">
        <v>10000000</v>
      </c>
      <c r="H340" s="225">
        <v>0</v>
      </c>
      <c r="I340" s="225"/>
      <c r="J340" s="225"/>
      <c r="K340" s="225"/>
      <c r="L340" s="221">
        <f>G340-H340-I340-J340-K340</f>
        <v>10000000</v>
      </c>
      <c r="M340" s="221">
        <f>H340-N340-O340</f>
        <v>0</v>
      </c>
      <c r="N340" s="221">
        <v>0</v>
      </c>
      <c r="O340" s="225"/>
    </row>
    <row r="341" spans="1:15" x14ac:dyDescent="0.25">
      <c r="B341" s="256"/>
      <c r="C341" s="225"/>
      <c r="D341" s="225"/>
      <c r="E341" s="225"/>
      <c r="F341" s="225"/>
      <c r="G341" s="225"/>
      <c r="H341" s="225"/>
      <c r="I341" s="225"/>
      <c r="J341" s="225"/>
      <c r="K341" s="225"/>
      <c r="L341" s="225"/>
      <c r="M341" s="225"/>
      <c r="N341" s="225"/>
      <c r="O341" s="225"/>
    </row>
    <row r="342" spans="1:15" ht="13.8" thickBot="1" x14ac:dyDescent="0.3">
      <c r="B342" s="260" t="s">
        <v>312</v>
      </c>
      <c r="C342" s="228">
        <f t="shared" ref="C342:M342" si="50">SUM(C339:C341)</f>
        <v>18000000</v>
      </c>
      <c r="D342" s="228">
        <f t="shared" si="50"/>
        <v>0</v>
      </c>
      <c r="E342" s="228">
        <f t="shared" si="50"/>
        <v>0</v>
      </c>
      <c r="F342" s="228">
        <f t="shared" si="50"/>
        <v>0</v>
      </c>
      <c r="G342" s="228">
        <f t="shared" si="50"/>
        <v>18000000</v>
      </c>
      <c r="H342" s="228">
        <f t="shared" si="50"/>
        <v>0</v>
      </c>
      <c r="I342" s="228">
        <f t="shared" si="50"/>
        <v>0</v>
      </c>
      <c r="J342" s="228">
        <f t="shared" si="50"/>
        <v>0</v>
      </c>
      <c r="K342" s="228">
        <f t="shared" si="50"/>
        <v>0</v>
      </c>
      <c r="L342" s="228">
        <f t="shared" si="50"/>
        <v>18000000</v>
      </c>
      <c r="M342" s="228">
        <f t="shared" si="50"/>
        <v>0</v>
      </c>
      <c r="N342" s="228">
        <f>SUM(N339:N341)</f>
        <v>0</v>
      </c>
      <c r="O342" s="228">
        <f>SUM(O339:O341)</f>
        <v>0</v>
      </c>
    </row>
    <row r="343" spans="1:15" ht="13.8" thickTop="1" x14ac:dyDescent="0.25">
      <c r="B343" s="261"/>
      <c r="C343" s="212"/>
      <c r="D343" s="212"/>
      <c r="E343" s="212"/>
      <c r="F343" s="212"/>
      <c r="G343" s="212"/>
      <c r="H343" s="212"/>
      <c r="I343" s="212"/>
      <c r="J343" s="212"/>
      <c r="K343" s="212"/>
      <c r="L343" s="212"/>
      <c r="M343" s="212"/>
      <c r="N343" s="212"/>
      <c r="O343" s="212"/>
    </row>
    <row r="344" spans="1:15" x14ac:dyDescent="0.25">
      <c r="A344" s="224" t="s">
        <v>314</v>
      </c>
      <c r="C344" s="212"/>
      <c r="D344" s="225"/>
      <c r="E344" s="225"/>
      <c r="F344" s="225"/>
      <c r="G344" s="225"/>
      <c r="H344" s="225"/>
      <c r="I344" s="225"/>
      <c r="J344" s="225"/>
      <c r="K344" s="225"/>
      <c r="L344" s="225"/>
      <c r="M344" s="225"/>
      <c r="N344" s="221"/>
      <c r="O344" s="225"/>
    </row>
    <row r="345" spans="1:15" x14ac:dyDescent="0.25">
      <c r="B345" s="256" t="s">
        <v>315</v>
      </c>
      <c r="C345" s="225">
        <v>6850000</v>
      </c>
      <c r="D345" s="225"/>
      <c r="E345" s="225"/>
      <c r="F345" s="225"/>
      <c r="G345" s="225">
        <v>6850000</v>
      </c>
      <c r="H345" s="225">
        <v>0</v>
      </c>
      <c r="I345" s="225"/>
      <c r="J345" s="225"/>
      <c r="K345" s="225">
        <f>[2]UMCP!K631</f>
        <v>0</v>
      </c>
      <c r="L345" s="221">
        <f>G345-H345-I345-J345-K345</f>
        <v>6850000</v>
      </c>
      <c r="M345" s="221">
        <f>H345-N345-O345</f>
        <v>0</v>
      </c>
      <c r="N345" s="221">
        <v>0</v>
      </c>
      <c r="O345" s="225"/>
    </row>
    <row r="346" spans="1:15" x14ac:dyDescent="0.25">
      <c r="B346" s="256" t="s">
        <v>316</v>
      </c>
      <c r="C346" s="225">
        <v>9046000</v>
      </c>
      <c r="D346" s="225"/>
      <c r="E346" s="225"/>
      <c r="F346" s="225"/>
      <c r="G346" s="225">
        <v>9046000</v>
      </c>
      <c r="H346" s="225">
        <v>0</v>
      </c>
      <c r="I346" s="225"/>
      <c r="J346" s="225"/>
      <c r="K346" s="225">
        <f>[2]TU!K494</f>
        <v>0</v>
      </c>
      <c r="L346" s="221">
        <f>G346-H346-I346-J346-K346</f>
        <v>9046000</v>
      </c>
      <c r="M346" s="221">
        <f>H346-N346-O346</f>
        <v>0</v>
      </c>
      <c r="N346" s="221">
        <v>0</v>
      </c>
      <c r="O346" s="225"/>
    </row>
    <row r="347" spans="1:15" x14ac:dyDescent="0.25">
      <c r="B347" s="256" t="s">
        <v>311</v>
      </c>
      <c r="C347" s="225">
        <v>5000000</v>
      </c>
      <c r="D347" s="225"/>
      <c r="E347" s="225"/>
      <c r="F347" s="225"/>
      <c r="G347" s="225">
        <v>5000000</v>
      </c>
      <c r="H347" s="225">
        <v>0</v>
      </c>
      <c r="I347" s="225"/>
      <c r="J347" s="225"/>
      <c r="K347" s="225">
        <f>[2]TU!K445</f>
        <v>0</v>
      </c>
      <c r="L347" s="221">
        <f>G347-H347-I347-J347-K347</f>
        <v>5000000</v>
      </c>
      <c r="M347" s="221">
        <f>H347-N347-O347</f>
        <v>0</v>
      </c>
      <c r="N347" s="221">
        <v>0</v>
      </c>
      <c r="O347" s="225"/>
    </row>
    <row r="348" spans="1:15" x14ac:dyDescent="0.25">
      <c r="B348" s="256"/>
      <c r="C348" s="225"/>
      <c r="D348" s="225"/>
      <c r="E348" s="225"/>
      <c r="F348" s="225"/>
      <c r="G348" s="225"/>
      <c r="H348" s="225"/>
      <c r="I348" s="225"/>
      <c r="J348" s="225"/>
      <c r="K348" s="225"/>
      <c r="L348" s="225"/>
      <c r="M348" s="225"/>
      <c r="N348" s="225"/>
      <c r="O348" s="225"/>
    </row>
    <row r="349" spans="1:15" ht="13.8" thickBot="1" x14ac:dyDescent="0.3">
      <c r="B349" s="260" t="s">
        <v>317</v>
      </c>
      <c r="C349" s="228">
        <f>SUM(C345:C348)</f>
        <v>20896000</v>
      </c>
      <c r="D349" s="228">
        <f t="shared" ref="D349:O349" si="51">SUM(D345:D348)</f>
        <v>0</v>
      </c>
      <c r="E349" s="228">
        <f t="shared" si="51"/>
        <v>0</v>
      </c>
      <c r="F349" s="228">
        <f t="shared" si="51"/>
        <v>0</v>
      </c>
      <c r="G349" s="228">
        <f t="shared" si="51"/>
        <v>20896000</v>
      </c>
      <c r="H349" s="228">
        <f t="shared" si="51"/>
        <v>0</v>
      </c>
      <c r="I349" s="228">
        <f t="shared" si="51"/>
        <v>0</v>
      </c>
      <c r="J349" s="228">
        <f t="shared" si="51"/>
        <v>0</v>
      </c>
      <c r="K349" s="228">
        <f t="shared" si="51"/>
        <v>0</v>
      </c>
      <c r="L349" s="228">
        <f t="shared" si="51"/>
        <v>20896000</v>
      </c>
      <c r="M349" s="228">
        <f t="shared" si="51"/>
        <v>0</v>
      </c>
      <c r="N349" s="228">
        <f t="shared" si="51"/>
        <v>0</v>
      </c>
      <c r="O349" s="228">
        <f t="shared" si="51"/>
        <v>0</v>
      </c>
    </row>
    <row r="350" spans="1:15" ht="13.8" thickTop="1" x14ac:dyDescent="0.25">
      <c r="B350" s="256"/>
      <c r="C350" s="225"/>
      <c r="D350" s="225"/>
      <c r="E350" s="225"/>
      <c r="F350" s="225"/>
      <c r="G350" s="225"/>
      <c r="H350" s="225"/>
      <c r="I350" s="225"/>
      <c r="J350" s="225"/>
      <c r="K350" s="225"/>
      <c r="L350" s="225"/>
      <c r="M350" s="225"/>
      <c r="N350" s="225"/>
      <c r="O350" s="225"/>
    </row>
    <row r="351" spans="1:15" x14ac:dyDescent="0.25">
      <c r="A351" s="224" t="s">
        <v>318</v>
      </c>
      <c r="C351" s="212"/>
      <c r="D351" s="225"/>
      <c r="E351" s="225"/>
      <c r="F351" s="187"/>
      <c r="G351" s="225"/>
      <c r="H351" s="225"/>
      <c r="I351" s="225"/>
      <c r="J351" s="225"/>
      <c r="K351" s="225"/>
      <c r="L351" s="225"/>
      <c r="M351" s="225"/>
      <c r="N351" s="225"/>
      <c r="O351" s="225"/>
    </row>
    <row r="352" spans="1:15" x14ac:dyDescent="0.25">
      <c r="B352" s="256" t="s">
        <v>319</v>
      </c>
      <c r="C352" s="225">
        <v>1045430</v>
      </c>
      <c r="D352" s="225"/>
      <c r="E352" s="225"/>
      <c r="F352" s="225">
        <f>677619.08</f>
        <v>677619.08</v>
      </c>
      <c r="G352" s="225">
        <v>367810.92000000004</v>
      </c>
      <c r="H352" s="225">
        <v>367810.92</v>
      </c>
      <c r="I352" s="225"/>
      <c r="J352" s="225">
        <f>[4]UMES!J214</f>
        <v>0</v>
      </c>
      <c r="K352" s="225">
        <f>[4]UMES!K214</f>
        <v>0</v>
      </c>
      <c r="L352" s="221">
        <f>G352-H352-I352-J352-K352</f>
        <v>5.8207660913467407E-11</v>
      </c>
      <c r="M352" s="221">
        <f>H352-N352-O352</f>
        <v>104246.32</v>
      </c>
      <c r="N352" s="221">
        <v>263564.59999999998</v>
      </c>
      <c r="O352" s="221">
        <v>0</v>
      </c>
    </row>
    <row r="353" spans="1:15" x14ac:dyDescent="0.25">
      <c r="B353" s="256" t="s">
        <v>320</v>
      </c>
      <c r="C353" s="225">
        <v>8000000</v>
      </c>
      <c r="D353" s="225"/>
      <c r="E353" s="225"/>
      <c r="F353" s="225">
        <f>4156585.88+673518.08+260562</f>
        <v>5090665.96</v>
      </c>
      <c r="G353" s="225">
        <v>2909334.04</v>
      </c>
      <c r="H353" s="225">
        <v>2227422.2399999998</v>
      </c>
      <c r="I353" s="225"/>
      <c r="J353" s="225">
        <f>[4]TU!J623</f>
        <v>0</v>
      </c>
      <c r="K353" s="225">
        <f>[4]TU!K623</f>
        <v>0</v>
      </c>
      <c r="L353" s="221">
        <f>G353-H353-I353-J353-K353</f>
        <v>681911.80000000028</v>
      </c>
      <c r="M353" s="221">
        <f>H353-N353-O353</f>
        <v>1970019.2199999997</v>
      </c>
      <c r="N353" s="221">
        <v>257403.02</v>
      </c>
      <c r="O353" s="221">
        <v>0</v>
      </c>
    </row>
    <row r="354" spans="1:15" x14ac:dyDescent="0.25">
      <c r="B354" s="256"/>
      <c r="C354" s="225"/>
      <c r="D354" s="225"/>
      <c r="E354" s="225"/>
      <c r="F354" s="225"/>
      <c r="G354" s="225"/>
      <c r="H354" s="225"/>
      <c r="I354" s="225"/>
      <c r="J354" s="225"/>
      <c r="K354" s="225"/>
      <c r="L354" s="225"/>
      <c r="M354" s="225"/>
      <c r="N354" s="225"/>
      <c r="O354" s="225"/>
    </row>
    <row r="355" spans="1:15" ht="13.8" thickBot="1" x14ac:dyDescent="0.3">
      <c r="B355" s="260" t="s">
        <v>321</v>
      </c>
      <c r="C355" s="228">
        <f>SUM(C352:C354)</f>
        <v>9045430</v>
      </c>
      <c r="D355" s="228">
        <f t="shared" ref="D355:O355" si="52">SUM(D352:D354)</f>
        <v>0</v>
      </c>
      <c r="E355" s="228">
        <f t="shared" si="52"/>
        <v>0</v>
      </c>
      <c r="F355" s="228">
        <f t="shared" si="52"/>
        <v>5768285.04</v>
      </c>
      <c r="G355" s="228">
        <f t="shared" si="52"/>
        <v>3277144.96</v>
      </c>
      <c r="H355" s="228">
        <f t="shared" si="52"/>
        <v>2595233.1599999997</v>
      </c>
      <c r="I355" s="228">
        <f t="shared" si="52"/>
        <v>0</v>
      </c>
      <c r="J355" s="228">
        <f t="shared" si="52"/>
        <v>0</v>
      </c>
      <c r="K355" s="228">
        <f t="shared" si="52"/>
        <v>0</v>
      </c>
      <c r="L355" s="228">
        <f t="shared" si="52"/>
        <v>681911.80000000028</v>
      </c>
      <c r="M355" s="228">
        <f t="shared" si="52"/>
        <v>2074265.5399999998</v>
      </c>
      <c r="N355" s="228">
        <f t="shared" si="52"/>
        <v>520967.62</v>
      </c>
      <c r="O355" s="228">
        <f t="shared" si="52"/>
        <v>0</v>
      </c>
    </row>
    <row r="356" spans="1:15" ht="13.8" thickTop="1" x14ac:dyDescent="0.25">
      <c r="B356" s="256"/>
      <c r="C356" s="225"/>
      <c r="D356" s="225"/>
      <c r="E356" s="225"/>
      <c r="F356" s="225"/>
      <c r="G356" s="225"/>
      <c r="H356" s="225"/>
      <c r="I356" s="225"/>
      <c r="J356" s="225"/>
      <c r="K356" s="225"/>
      <c r="L356" s="225"/>
      <c r="M356" s="225"/>
      <c r="N356" s="225"/>
      <c r="O356" s="225"/>
    </row>
    <row r="357" spans="1:15" x14ac:dyDescent="0.25">
      <c r="A357" s="224" t="s">
        <v>322</v>
      </c>
      <c r="C357" s="212"/>
      <c r="D357" s="225"/>
      <c r="E357" s="225"/>
      <c r="F357" s="225"/>
      <c r="G357" s="225"/>
      <c r="H357" s="225"/>
      <c r="I357" s="225"/>
      <c r="J357" s="225"/>
      <c r="K357" s="225"/>
      <c r="L357" s="225"/>
      <c r="M357" s="225"/>
      <c r="N357" s="225"/>
      <c r="O357" s="225"/>
    </row>
    <row r="358" spans="1:15" x14ac:dyDescent="0.25">
      <c r="A358" s="224"/>
      <c r="B358" s="184" t="s">
        <v>323</v>
      </c>
      <c r="C358" s="212">
        <v>2700000</v>
      </c>
      <c r="D358" s="225"/>
      <c r="E358" s="225"/>
      <c r="F358" s="225"/>
      <c r="G358" s="225">
        <v>2700000</v>
      </c>
      <c r="H358" s="225">
        <v>0</v>
      </c>
      <c r="I358" s="225"/>
      <c r="J358" s="225">
        <f>[4]UMB!J426</f>
        <v>0</v>
      </c>
      <c r="K358" s="225">
        <f>[4]UMB!K426</f>
        <v>0</v>
      </c>
      <c r="L358" s="221">
        <f>G358-H358-I358-J358-K358</f>
        <v>2700000</v>
      </c>
      <c r="M358" s="221">
        <f>H358-N358-O358</f>
        <v>0</v>
      </c>
      <c r="N358" s="221">
        <v>0</v>
      </c>
      <c r="O358" s="221">
        <v>0</v>
      </c>
    </row>
    <row r="359" spans="1:15" x14ac:dyDescent="0.25">
      <c r="A359" s="224"/>
      <c r="B359" s="184" t="s">
        <v>324</v>
      </c>
      <c r="C359" s="212">
        <v>1000000</v>
      </c>
      <c r="D359" s="225"/>
      <c r="E359" s="225"/>
      <c r="F359" s="225"/>
      <c r="G359" s="225">
        <v>1000000</v>
      </c>
      <c r="H359" s="225">
        <v>0</v>
      </c>
      <c r="I359" s="225"/>
      <c r="J359" s="225">
        <f>[4]FSU!J237</f>
        <v>0</v>
      </c>
      <c r="K359" s="225">
        <f>[4]FSU!K237</f>
        <v>0</v>
      </c>
      <c r="L359" s="221">
        <f>G359-H359-I359-J359-K359</f>
        <v>1000000</v>
      </c>
      <c r="M359" s="221">
        <f>H359-N359-O359</f>
        <v>0</v>
      </c>
      <c r="N359" s="221">
        <v>0</v>
      </c>
      <c r="O359" s="221">
        <v>0</v>
      </c>
    </row>
    <row r="360" spans="1:15" x14ac:dyDescent="0.25">
      <c r="A360" s="224"/>
      <c r="B360" s="184" t="s">
        <v>325</v>
      </c>
      <c r="C360" s="212">
        <v>20000000</v>
      </c>
      <c r="D360" s="225"/>
      <c r="E360" s="225"/>
      <c r="F360" s="225">
        <f>2665098.06+996336.78+299</f>
        <v>3661733.84</v>
      </c>
      <c r="G360" s="225">
        <v>16338266.16</v>
      </c>
      <c r="H360" s="225">
        <v>7819700.6999999993</v>
      </c>
      <c r="I360" s="225"/>
      <c r="J360" s="225">
        <f>[4]TU!J402</f>
        <v>0</v>
      </c>
      <c r="K360" s="225">
        <f>[4]TU!K402</f>
        <v>0</v>
      </c>
      <c r="L360" s="221">
        <f>G360-H360-I360-J360-K360</f>
        <v>8518565.4600000009</v>
      </c>
      <c r="M360" s="221">
        <f>H360-N360-O360</f>
        <v>6833493.0999999996</v>
      </c>
      <c r="N360" s="221">
        <v>986207.6</v>
      </c>
      <c r="O360" s="221">
        <v>0</v>
      </c>
    </row>
    <row r="361" spans="1:15" x14ac:dyDescent="0.25">
      <c r="B361" s="256"/>
      <c r="C361" s="225"/>
      <c r="D361" s="225"/>
      <c r="E361" s="225"/>
      <c r="F361" s="225"/>
      <c r="G361" s="225"/>
      <c r="H361" s="225"/>
      <c r="I361" s="225"/>
      <c r="J361" s="225"/>
      <c r="K361" s="225"/>
      <c r="L361" s="225"/>
      <c r="M361" s="225"/>
      <c r="N361" s="225"/>
      <c r="O361" s="225"/>
    </row>
    <row r="362" spans="1:15" ht="13.8" thickBot="1" x14ac:dyDescent="0.3">
      <c r="B362" s="260" t="s">
        <v>326</v>
      </c>
      <c r="C362" s="228">
        <f>SUM(C358:C361)</f>
        <v>23700000</v>
      </c>
      <c r="D362" s="228">
        <f t="shared" ref="D362:O362" si="53">SUM(D358:D361)</f>
        <v>0</v>
      </c>
      <c r="E362" s="228">
        <f t="shared" si="53"/>
        <v>0</v>
      </c>
      <c r="F362" s="228">
        <f>SUM(F358:F361)</f>
        <v>3661733.84</v>
      </c>
      <c r="G362" s="228">
        <f t="shared" si="53"/>
        <v>20038266.16</v>
      </c>
      <c r="H362" s="228">
        <f t="shared" si="53"/>
        <v>7819700.6999999993</v>
      </c>
      <c r="I362" s="228">
        <f t="shared" si="53"/>
        <v>0</v>
      </c>
      <c r="J362" s="228">
        <f t="shared" si="53"/>
        <v>0</v>
      </c>
      <c r="K362" s="228">
        <f t="shared" si="53"/>
        <v>0</v>
      </c>
      <c r="L362" s="228">
        <f t="shared" si="53"/>
        <v>12218565.460000001</v>
      </c>
      <c r="M362" s="228">
        <f t="shared" si="53"/>
        <v>6833493.0999999996</v>
      </c>
      <c r="N362" s="228">
        <f t="shared" si="53"/>
        <v>986207.6</v>
      </c>
      <c r="O362" s="228">
        <f t="shared" si="53"/>
        <v>0</v>
      </c>
    </row>
    <row r="363" spans="1:15" ht="13.8" thickTop="1" x14ac:dyDescent="0.25">
      <c r="A363" s="224"/>
      <c r="C363" s="212"/>
      <c r="D363" s="225"/>
      <c r="E363" s="225"/>
      <c r="F363" s="225"/>
      <c r="G363" s="225"/>
      <c r="H363" s="225"/>
      <c r="I363" s="225"/>
      <c r="J363" s="225"/>
      <c r="K363" s="225"/>
      <c r="L363" s="225"/>
      <c r="M363" s="225"/>
      <c r="N363" s="225"/>
      <c r="O363" s="225"/>
    </row>
    <row r="364" spans="1:15" x14ac:dyDescent="0.25">
      <c r="A364" s="224" t="s">
        <v>327</v>
      </c>
      <c r="C364" s="212"/>
      <c r="D364" s="225"/>
      <c r="E364" s="225"/>
      <c r="F364" s="225"/>
      <c r="G364" s="225"/>
      <c r="H364" s="225"/>
      <c r="I364" s="225"/>
      <c r="J364" s="225"/>
      <c r="K364" s="225"/>
      <c r="L364" s="225"/>
      <c r="M364" s="225"/>
      <c r="N364" s="225"/>
      <c r="O364" s="225"/>
    </row>
    <row r="365" spans="1:15" x14ac:dyDescent="0.25">
      <c r="B365" s="256" t="s">
        <v>328</v>
      </c>
      <c r="C365" s="225">
        <v>25000000</v>
      </c>
      <c r="D365" s="225"/>
      <c r="E365" s="225"/>
      <c r="F365" s="225">
        <v>0</v>
      </c>
      <c r="G365" s="225">
        <v>25000000</v>
      </c>
      <c r="H365" s="225">
        <v>25000000.000000011</v>
      </c>
      <c r="I365" s="225"/>
      <c r="J365" s="225">
        <f>[4]UMCP!J378</f>
        <v>0</v>
      </c>
      <c r="K365" s="225">
        <f>[4]UMCP!K378</f>
        <v>0</v>
      </c>
      <c r="L365" s="221">
        <f>G365-H365-I365-J365-K365</f>
        <v>-1.1175870895385742E-8</v>
      </c>
      <c r="M365" s="221">
        <f>H365-N365-O365</f>
        <v>395672.48000000417</v>
      </c>
      <c r="N365" s="221">
        <v>2878845.1800000072</v>
      </c>
      <c r="O365" s="221">
        <v>21725482.34</v>
      </c>
    </row>
    <row r="366" spans="1:15" x14ac:dyDescent="0.25">
      <c r="B366" s="256" t="s">
        <v>329</v>
      </c>
      <c r="C366" s="225">
        <v>15000000</v>
      </c>
      <c r="D366" s="225"/>
      <c r="E366" s="225"/>
      <c r="F366" s="225">
        <v>0</v>
      </c>
      <c r="G366" s="225">
        <v>15000000</v>
      </c>
      <c r="H366" s="225">
        <v>15000000</v>
      </c>
      <c r="I366" s="225"/>
      <c r="J366" s="225">
        <f>[4]UMCP!J413</f>
        <v>0</v>
      </c>
      <c r="K366" s="225">
        <f>[4]UMCP!K413</f>
        <v>0</v>
      </c>
      <c r="L366" s="221">
        <f>G366-H366-I366-J366-K366</f>
        <v>0</v>
      </c>
      <c r="M366" s="221">
        <f>H366-N366-O366</f>
        <v>0</v>
      </c>
      <c r="N366" s="221">
        <v>0</v>
      </c>
      <c r="O366" s="221">
        <v>15000000</v>
      </c>
    </row>
    <row r="367" spans="1:15" x14ac:dyDescent="0.25">
      <c r="B367" s="256"/>
      <c r="C367" s="225"/>
      <c r="D367" s="225"/>
      <c r="E367" s="225"/>
      <c r="F367" s="225"/>
      <c r="G367" s="225"/>
      <c r="H367" s="225"/>
      <c r="I367" s="225"/>
      <c r="J367" s="225"/>
      <c r="K367" s="225"/>
      <c r="L367" s="225"/>
      <c r="M367" s="225"/>
      <c r="N367" s="225"/>
      <c r="O367" s="225"/>
    </row>
    <row r="368" spans="1:15" ht="13.8" thickBot="1" x14ac:dyDescent="0.3">
      <c r="B368" s="260" t="s">
        <v>330</v>
      </c>
      <c r="C368" s="228">
        <f>SUM(C365:C367)</f>
        <v>40000000</v>
      </c>
      <c r="D368" s="228">
        <f t="shared" ref="D368:O368" si="54">SUM(D365:D367)</f>
        <v>0</v>
      </c>
      <c r="E368" s="228">
        <f t="shared" si="54"/>
        <v>0</v>
      </c>
      <c r="F368" s="228">
        <f t="shared" si="54"/>
        <v>0</v>
      </c>
      <c r="G368" s="228">
        <f t="shared" si="54"/>
        <v>40000000</v>
      </c>
      <c r="H368" s="228">
        <f t="shared" si="54"/>
        <v>40000000.000000015</v>
      </c>
      <c r="I368" s="228">
        <f t="shared" si="54"/>
        <v>0</v>
      </c>
      <c r="J368" s="228">
        <f t="shared" si="54"/>
        <v>0</v>
      </c>
      <c r="K368" s="228">
        <f t="shared" si="54"/>
        <v>0</v>
      </c>
      <c r="L368" s="228">
        <f t="shared" si="54"/>
        <v>-1.1175870895385742E-8</v>
      </c>
      <c r="M368" s="228">
        <f t="shared" si="54"/>
        <v>395672.48000000417</v>
      </c>
      <c r="N368" s="228">
        <f t="shared" si="54"/>
        <v>2878845.1800000072</v>
      </c>
      <c r="O368" s="228">
        <f t="shared" si="54"/>
        <v>36725482.340000004</v>
      </c>
    </row>
    <row r="369" spans="1:15" ht="13.8" thickTop="1" x14ac:dyDescent="0.25">
      <c r="B369" s="256"/>
      <c r="C369" s="225"/>
      <c r="D369" s="225"/>
      <c r="E369" s="225"/>
      <c r="F369" s="225"/>
      <c r="G369" s="225"/>
      <c r="H369" s="225"/>
      <c r="I369" s="225"/>
      <c r="J369" s="225"/>
      <c r="K369" s="225"/>
      <c r="L369" s="225"/>
      <c r="M369" s="225"/>
      <c r="N369" s="225"/>
      <c r="O369" s="225"/>
    </row>
    <row r="370" spans="1:15" x14ac:dyDescent="0.25">
      <c r="A370" s="224" t="s">
        <v>331</v>
      </c>
      <c r="C370" s="212"/>
      <c r="D370" s="225"/>
      <c r="E370" s="225"/>
      <c r="F370" s="262"/>
      <c r="G370" s="225"/>
      <c r="H370" s="225"/>
      <c r="I370" s="225"/>
      <c r="J370" s="225"/>
      <c r="K370" s="225"/>
      <c r="L370" s="225"/>
      <c r="M370" s="225"/>
      <c r="N370" s="225"/>
      <c r="O370" s="225"/>
    </row>
    <row r="371" spans="1:15" x14ac:dyDescent="0.25">
      <c r="B371" s="256" t="s">
        <v>332</v>
      </c>
      <c r="C371" s="225">
        <v>4000000</v>
      </c>
      <c r="D371" s="225"/>
      <c r="E371" s="225"/>
      <c r="F371" s="225">
        <v>0</v>
      </c>
      <c r="G371" s="225">
        <v>4000000</v>
      </c>
      <c r="H371" s="225">
        <v>4000000</v>
      </c>
      <c r="I371" s="225"/>
      <c r="J371" s="225"/>
      <c r="K371" s="225">
        <f>[4]UMCP!K421</f>
        <v>0</v>
      </c>
      <c r="L371" s="221">
        <f>G371-H371-I371-J371-K371</f>
        <v>0</v>
      </c>
      <c r="M371" s="221">
        <f>H371-N371-O371</f>
        <v>0</v>
      </c>
      <c r="N371" s="221">
        <v>0</v>
      </c>
      <c r="O371" s="221">
        <v>4000000</v>
      </c>
    </row>
    <row r="372" spans="1:15" x14ac:dyDescent="0.25">
      <c r="B372" s="256" t="s">
        <v>333</v>
      </c>
      <c r="C372" s="225">
        <f>1000000+8780000</f>
        <v>9780000</v>
      </c>
      <c r="D372" s="225"/>
      <c r="E372" s="225"/>
      <c r="F372" s="225">
        <f>9312023.08</f>
        <v>9312023.0800000001</v>
      </c>
      <c r="G372" s="225">
        <v>467976.91999999993</v>
      </c>
      <c r="H372" s="225">
        <v>467976.92</v>
      </c>
      <c r="I372" s="225"/>
      <c r="J372" s="225"/>
      <c r="K372" s="225">
        <f>[4]UMCP!K389</f>
        <v>0</v>
      </c>
      <c r="L372" s="221">
        <f>G372-H372-I372-J372-K372</f>
        <v>-5.8207660913467407E-11</v>
      </c>
      <c r="M372" s="221">
        <f>H372-N372-O372</f>
        <v>0</v>
      </c>
      <c r="N372" s="221">
        <v>0</v>
      </c>
      <c r="O372" s="221">
        <v>467976.92</v>
      </c>
    </row>
    <row r="373" spans="1:15" x14ac:dyDescent="0.25">
      <c r="B373" s="256" t="s">
        <v>334</v>
      </c>
      <c r="C373" s="225">
        <v>13100000</v>
      </c>
      <c r="D373" s="225"/>
      <c r="E373" s="225"/>
      <c r="F373" s="225">
        <f>5842776.86+7257223.14</f>
        <v>13100000</v>
      </c>
      <c r="G373" s="225">
        <v>0</v>
      </c>
      <c r="H373" s="225">
        <v>0</v>
      </c>
      <c r="I373" s="225"/>
      <c r="J373" s="225"/>
      <c r="K373" s="225"/>
      <c r="L373" s="221">
        <f>G373-H373-I373-J373-K373</f>
        <v>0</v>
      </c>
      <c r="M373" s="221">
        <f>H373-N373-O373</f>
        <v>0</v>
      </c>
      <c r="N373" s="221">
        <v>0</v>
      </c>
      <c r="O373" s="221">
        <v>0</v>
      </c>
    </row>
    <row r="374" spans="1:15" x14ac:dyDescent="0.25">
      <c r="B374" s="256" t="s">
        <v>335</v>
      </c>
      <c r="C374" s="225">
        <v>25100000</v>
      </c>
      <c r="D374" s="225"/>
      <c r="E374" s="225"/>
      <c r="F374" s="225">
        <f>1995.27+25052096.18</f>
        <v>25054091.449999999</v>
      </c>
      <c r="G374" s="225">
        <v>45908.550000000745</v>
      </c>
      <c r="H374" s="225">
        <v>5000</v>
      </c>
      <c r="I374" s="225"/>
      <c r="J374" s="225"/>
      <c r="K374" s="225"/>
      <c r="L374" s="221">
        <f>G374-H374-I374-J374-K374</f>
        <v>40908.550000000745</v>
      </c>
      <c r="M374" s="221">
        <f>H374-N374-O374</f>
        <v>5000</v>
      </c>
      <c r="N374" s="221">
        <v>0</v>
      </c>
      <c r="O374" s="221">
        <v>0</v>
      </c>
    </row>
    <row r="375" spans="1:15" x14ac:dyDescent="0.25">
      <c r="B375" s="256" t="s">
        <v>316</v>
      </c>
      <c r="C375" s="225">
        <v>20513000</v>
      </c>
      <c r="D375" s="225"/>
      <c r="E375" s="225"/>
      <c r="F375" s="225">
        <v>20513000</v>
      </c>
      <c r="G375" s="225">
        <v>0</v>
      </c>
      <c r="H375" s="225">
        <v>0</v>
      </c>
      <c r="I375" s="225"/>
      <c r="J375" s="225"/>
      <c r="K375" s="225"/>
      <c r="L375" s="221">
        <f>G375-H375-I375-J375-K375</f>
        <v>0</v>
      </c>
      <c r="M375" s="221">
        <f>H375-N375-O375</f>
        <v>0</v>
      </c>
      <c r="N375" s="221">
        <v>0</v>
      </c>
      <c r="O375" s="221">
        <v>0</v>
      </c>
    </row>
    <row r="376" spans="1:15" x14ac:dyDescent="0.25">
      <c r="B376" s="256"/>
      <c r="C376" s="225"/>
      <c r="D376" s="225"/>
      <c r="E376" s="225"/>
      <c r="F376" s="225"/>
      <c r="G376" s="225"/>
      <c r="H376" s="225"/>
      <c r="I376" s="225"/>
      <c r="J376" s="225"/>
      <c r="K376" s="225"/>
      <c r="L376" s="225"/>
      <c r="M376" s="225"/>
      <c r="N376" s="225"/>
      <c r="O376" s="225"/>
    </row>
    <row r="377" spans="1:15" ht="13.8" thickBot="1" x14ac:dyDescent="0.3">
      <c r="B377" s="260" t="s">
        <v>336</v>
      </c>
      <c r="C377" s="228">
        <f t="shared" ref="C377:O377" si="55">SUM(C371:C376)</f>
        <v>72493000</v>
      </c>
      <c r="D377" s="228">
        <f t="shared" si="55"/>
        <v>0</v>
      </c>
      <c r="E377" s="228">
        <f t="shared" si="55"/>
        <v>0</v>
      </c>
      <c r="F377" s="228">
        <f t="shared" si="55"/>
        <v>67979114.530000001</v>
      </c>
      <c r="G377" s="228">
        <f t="shared" si="55"/>
        <v>4513885.4700000007</v>
      </c>
      <c r="H377" s="228">
        <f t="shared" si="55"/>
        <v>4472976.92</v>
      </c>
      <c r="I377" s="228">
        <f t="shared" si="55"/>
        <v>0</v>
      </c>
      <c r="J377" s="228">
        <f t="shared" si="55"/>
        <v>0</v>
      </c>
      <c r="K377" s="228">
        <f t="shared" si="55"/>
        <v>0</v>
      </c>
      <c r="L377" s="228">
        <f t="shared" si="55"/>
        <v>40908.550000000687</v>
      </c>
      <c r="M377" s="228">
        <f t="shared" si="55"/>
        <v>5000</v>
      </c>
      <c r="N377" s="228">
        <f t="shared" si="55"/>
        <v>0</v>
      </c>
      <c r="O377" s="228">
        <f t="shared" si="55"/>
        <v>4467976.92</v>
      </c>
    </row>
    <row r="378" spans="1:15" ht="13.8" thickTop="1" x14ac:dyDescent="0.25">
      <c r="B378" s="256"/>
      <c r="C378" s="225"/>
      <c r="D378" s="225"/>
      <c r="E378" s="225"/>
      <c r="F378" s="225"/>
      <c r="G378" s="225"/>
      <c r="H378" s="225"/>
      <c r="I378" s="225"/>
      <c r="J378" s="225"/>
      <c r="K378" s="225"/>
      <c r="L378" s="225"/>
      <c r="M378" s="225"/>
      <c r="N378" s="225"/>
      <c r="O378" s="225"/>
    </row>
    <row r="379" spans="1:15" x14ac:dyDescent="0.25">
      <c r="A379" s="224" t="s">
        <v>337</v>
      </c>
      <c r="C379" s="212"/>
      <c r="D379" s="225"/>
      <c r="E379" s="225"/>
      <c r="F379" s="225"/>
      <c r="G379" s="225"/>
      <c r="H379" s="225"/>
      <c r="I379" s="225"/>
      <c r="J379" s="225"/>
      <c r="K379" s="225"/>
      <c r="L379" s="225"/>
      <c r="M379" s="225"/>
      <c r="N379" s="225"/>
      <c r="O379" s="225"/>
    </row>
    <row r="380" spans="1:15" x14ac:dyDescent="0.25">
      <c r="B380" s="256" t="s">
        <v>338</v>
      </c>
      <c r="C380" s="225">
        <v>12000000</v>
      </c>
      <c r="D380" s="225"/>
      <c r="E380" s="225"/>
      <c r="F380" s="225">
        <f>3999642.27+8000357.73</f>
        <v>12000000</v>
      </c>
      <c r="G380" s="225">
        <v>0</v>
      </c>
      <c r="H380" s="225">
        <v>0</v>
      </c>
      <c r="I380" s="225"/>
      <c r="J380" s="225"/>
      <c r="K380" s="225"/>
      <c r="L380" s="221">
        <f>G380-H380-I380-J380-K380</f>
        <v>0</v>
      </c>
      <c r="M380" s="221">
        <f>H380-N380-O380</f>
        <v>0</v>
      </c>
      <c r="N380" s="221"/>
      <c r="O380" s="221">
        <v>0</v>
      </c>
    </row>
    <row r="381" spans="1:15" x14ac:dyDescent="0.25">
      <c r="B381" s="256" t="s">
        <v>339</v>
      </c>
      <c r="C381" s="225">
        <v>92500000</v>
      </c>
      <c r="D381" s="225">
        <f>-6000000-86491803.38</f>
        <v>-92491803.379999995</v>
      </c>
      <c r="E381" s="225"/>
      <c r="F381" s="225">
        <f>8196.62</f>
        <v>8196.6200000000008</v>
      </c>
      <c r="G381" s="225">
        <v>0</v>
      </c>
      <c r="H381" s="225">
        <v>0</v>
      </c>
      <c r="I381" s="225"/>
      <c r="J381" s="225"/>
      <c r="K381" s="225">
        <f>[4]SU!K97</f>
        <v>0</v>
      </c>
      <c r="L381" s="221">
        <f>G381-H381-I381-J381-K381</f>
        <v>0</v>
      </c>
      <c r="M381" s="221">
        <f>H381-N381-O381</f>
        <v>0</v>
      </c>
      <c r="N381" s="221">
        <v>0</v>
      </c>
      <c r="O381" s="221">
        <v>0</v>
      </c>
    </row>
    <row r="382" spans="1:15" x14ac:dyDescent="0.25">
      <c r="B382" s="256"/>
      <c r="C382" s="225"/>
      <c r="D382" s="225"/>
      <c r="E382" s="225"/>
      <c r="F382" s="225"/>
      <c r="G382" s="225"/>
      <c r="H382" s="225"/>
      <c r="I382" s="225"/>
      <c r="J382" s="225"/>
      <c r="K382" s="225"/>
      <c r="L382" s="225"/>
      <c r="M382" s="225"/>
      <c r="N382" s="225"/>
      <c r="O382" s="225"/>
    </row>
    <row r="383" spans="1:15" ht="13.8" thickBot="1" x14ac:dyDescent="0.3">
      <c r="B383" s="260" t="s">
        <v>340</v>
      </c>
      <c r="C383" s="228">
        <f>SUM(C380:C382)</f>
        <v>104500000</v>
      </c>
      <c r="D383" s="228">
        <f t="shared" ref="D383:O383" si="56">SUM(D380:D382)</f>
        <v>-92491803.379999995</v>
      </c>
      <c r="E383" s="228">
        <f t="shared" si="56"/>
        <v>0</v>
      </c>
      <c r="F383" s="228">
        <f t="shared" si="56"/>
        <v>12008196.619999999</v>
      </c>
      <c r="G383" s="228">
        <f t="shared" si="56"/>
        <v>0</v>
      </c>
      <c r="H383" s="228">
        <f t="shared" si="56"/>
        <v>0</v>
      </c>
      <c r="I383" s="228">
        <f t="shared" si="56"/>
        <v>0</v>
      </c>
      <c r="J383" s="228">
        <f t="shared" si="56"/>
        <v>0</v>
      </c>
      <c r="K383" s="228">
        <f t="shared" si="56"/>
        <v>0</v>
      </c>
      <c r="L383" s="228">
        <f t="shared" si="56"/>
        <v>0</v>
      </c>
      <c r="M383" s="228">
        <f t="shared" si="56"/>
        <v>0</v>
      </c>
      <c r="N383" s="228">
        <f t="shared" si="56"/>
        <v>0</v>
      </c>
      <c r="O383" s="228">
        <f t="shared" si="56"/>
        <v>0</v>
      </c>
    </row>
    <row r="384" spans="1:15" ht="13.8" thickTop="1" x14ac:dyDescent="0.25">
      <c r="B384" s="256"/>
      <c r="C384" s="225"/>
      <c r="D384" s="225"/>
      <c r="E384" s="225"/>
      <c r="F384" s="225"/>
      <c r="G384" s="225"/>
      <c r="H384" s="225"/>
      <c r="I384" s="225"/>
      <c r="J384" s="225"/>
      <c r="K384" s="225"/>
      <c r="L384" s="225"/>
      <c r="M384" s="225"/>
      <c r="N384" s="225"/>
      <c r="O384" s="225"/>
    </row>
    <row r="385" spans="1:15" x14ac:dyDescent="0.25">
      <c r="A385" s="224" t="s">
        <v>341</v>
      </c>
      <c r="C385" s="212"/>
      <c r="D385" s="212"/>
      <c r="E385" s="222"/>
      <c r="F385" s="189"/>
      <c r="G385" s="221"/>
      <c r="H385" s="226"/>
      <c r="I385" s="221"/>
      <c r="J385" s="221"/>
      <c r="K385" s="221"/>
      <c r="L385" s="221"/>
      <c r="M385" s="221"/>
      <c r="N385" s="221"/>
      <c r="O385" s="221"/>
    </row>
    <row r="386" spans="1:15" x14ac:dyDescent="0.25">
      <c r="B386" s="184" t="s">
        <v>342</v>
      </c>
      <c r="C386" s="212">
        <v>12000000</v>
      </c>
      <c r="D386" s="212"/>
      <c r="E386" s="222"/>
      <c r="F386" s="221">
        <f>154530.8+7892487.67+3952981.53</f>
        <v>12000000</v>
      </c>
      <c r="G386" s="221">
        <v>0</v>
      </c>
      <c r="H386" s="226">
        <v>0</v>
      </c>
      <c r="I386" s="221">
        <f>[4]UMCP!I399</f>
        <v>0</v>
      </c>
      <c r="J386" s="221">
        <f>[4]UMCP!J399</f>
        <v>0</v>
      </c>
      <c r="K386" s="221">
        <f>[4]UMCP!K399</f>
        <v>0</v>
      </c>
      <c r="L386" s="221">
        <f t="shared" ref="L386:L393" si="57">G386-H386-I386-J386-K386</f>
        <v>0</v>
      </c>
      <c r="M386" s="221">
        <f t="shared" ref="M386:M393" si="58">H386-N386-O386</f>
        <v>0</v>
      </c>
      <c r="N386" s="221">
        <v>0</v>
      </c>
      <c r="O386" s="221">
        <v>0</v>
      </c>
    </row>
    <row r="387" spans="1:15" x14ac:dyDescent="0.25">
      <c r="B387" s="184" t="s">
        <v>332</v>
      </c>
      <c r="C387" s="212">
        <v>26500000</v>
      </c>
      <c r="D387" s="212"/>
      <c r="E387" s="222"/>
      <c r="F387" s="221">
        <f>20828474.09</f>
        <v>20828474.09</v>
      </c>
      <c r="G387" s="221">
        <v>5671525.9100000001</v>
      </c>
      <c r="H387" s="226">
        <v>5671525.9100000001</v>
      </c>
      <c r="I387" s="221">
        <f>[4]UMCP!I430</f>
        <v>0</v>
      </c>
      <c r="J387" s="221">
        <f>[4]UMCP!J430</f>
        <v>0</v>
      </c>
      <c r="K387" s="221">
        <f>[4]UMCP!K430</f>
        <v>0</v>
      </c>
      <c r="L387" s="221">
        <f>G387-H387-I387-J387-K387</f>
        <v>0</v>
      </c>
      <c r="M387" s="221">
        <f t="shared" si="58"/>
        <v>0</v>
      </c>
      <c r="N387" s="221">
        <v>0</v>
      </c>
      <c r="O387" s="221">
        <v>5671525.9100000001</v>
      </c>
    </row>
    <row r="388" spans="1:15" x14ac:dyDescent="0.25">
      <c r="B388" s="184" t="s">
        <v>344</v>
      </c>
      <c r="C388" s="225">
        <v>1500000</v>
      </c>
      <c r="D388" s="212"/>
      <c r="E388" s="222"/>
      <c r="F388" s="262"/>
      <c r="G388" s="221">
        <v>1500000</v>
      </c>
      <c r="H388" s="226">
        <v>7873.27</v>
      </c>
      <c r="I388" s="221">
        <f>[4]UMCP!I341</f>
        <v>0</v>
      </c>
      <c r="J388" s="221">
        <f>[4]UMCP!J341</f>
        <v>0</v>
      </c>
      <c r="K388" s="221">
        <f>[4]UMCP!K341</f>
        <v>0</v>
      </c>
      <c r="L388" s="221">
        <f t="shared" si="57"/>
        <v>1492126.73</v>
      </c>
      <c r="M388" s="221">
        <f t="shared" si="58"/>
        <v>7873.27</v>
      </c>
      <c r="N388" s="221">
        <v>0</v>
      </c>
      <c r="O388" s="221">
        <v>0</v>
      </c>
    </row>
    <row r="389" spans="1:15" hidden="1" x14ac:dyDescent="0.25">
      <c r="B389" s="184" t="s">
        <v>334</v>
      </c>
      <c r="C389" s="225">
        <v>9900000</v>
      </c>
      <c r="D389" s="212"/>
      <c r="E389" s="222"/>
      <c r="F389" s="221">
        <f>26214.56+9873785.44</f>
        <v>9900000</v>
      </c>
      <c r="G389" s="221">
        <v>0</v>
      </c>
      <c r="H389" s="226">
        <v>0</v>
      </c>
      <c r="I389" s="221">
        <v>0</v>
      </c>
      <c r="J389" s="221">
        <v>0</v>
      </c>
      <c r="K389" s="221">
        <v>0</v>
      </c>
      <c r="L389" s="221">
        <f t="shared" si="57"/>
        <v>0</v>
      </c>
      <c r="M389" s="221">
        <f t="shared" si="58"/>
        <v>0</v>
      </c>
      <c r="N389" s="221">
        <v>0</v>
      </c>
      <c r="O389" s="221">
        <v>0</v>
      </c>
    </row>
    <row r="390" spans="1:15" x14ac:dyDescent="0.25">
      <c r="B390" s="184" t="s">
        <v>345</v>
      </c>
      <c r="C390" s="212">
        <v>13330000</v>
      </c>
      <c r="D390" s="212"/>
      <c r="E390" s="222"/>
      <c r="F390" s="221">
        <f>13317332.58</f>
        <v>13317332.58</v>
      </c>
      <c r="G390" s="221">
        <v>12667.419999999925</v>
      </c>
      <c r="H390" s="226">
        <v>0</v>
      </c>
      <c r="I390" s="221">
        <f>[4]FSU!I232</f>
        <v>0</v>
      </c>
      <c r="J390" s="221">
        <f>[4]FSU!J232</f>
        <v>0</v>
      </c>
      <c r="K390" s="221">
        <f>[4]FSU!K232</f>
        <v>0</v>
      </c>
      <c r="L390" s="221">
        <f t="shared" si="57"/>
        <v>12667.419999999925</v>
      </c>
      <c r="M390" s="221">
        <f t="shared" si="58"/>
        <v>0</v>
      </c>
      <c r="N390" s="221">
        <v>0</v>
      </c>
      <c r="O390" s="221">
        <v>0</v>
      </c>
    </row>
    <row r="391" spans="1:15" x14ac:dyDescent="0.25">
      <c r="B391" s="184" t="s">
        <v>346</v>
      </c>
      <c r="C391" s="212">
        <v>7700000</v>
      </c>
      <c r="D391" s="212"/>
      <c r="E391" s="222"/>
      <c r="F391" s="221">
        <f>1990561.7+1418383.39+637208.77</f>
        <v>4046153.86</v>
      </c>
      <c r="G391" s="221">
        <v>3653846.1400000011</v>
      </c>
      <c r="H391" s="226">
        <v>120864.90999999999</v>
      </c>
      <c r="I391" s="221">
        <f>[4]FSU!I219</f>
        <v>0</v>
      </c>
      <c r="J391" s="221">
        <f>[4]FSU!J219</f>
        <v>0</v>
      </c>
      <c r="K391" s="221">
        <f>[4]FSU!K219</f>
        <v>0</v>
      </c>
      <c r="L391" s="221">
        <f t="shared" si="57"/>
        <v>3532981.2300000009</v>
      </c>
      <c r="M391" s="221">
        <f t="shared" si="58"/>
        <v>74719.669999999984</v>
      </c>
      <c r="N391" s="221">
        <v>46145.24</v>
      </c>
      <c r="O391" s="221">
        <v>0</v>
      </c>
    </row>
    <row r="392" spans="1:15" x14ac:dyDescent="0.25">
      <c r="B392" s="184" t="s">
        <v>335</v>
      </c>
      <c r="C392" s="212">
        <v>13000000</v>
      </c>
      <c r="D392" s="212"/>
      <c r="E392" s="222"/>
      <c r="F392" s="221">
        <f>369384.87+12614734.63</f>
        <v>12984119.5</v>
      </c>
      <c r="G392" s="221">
        <v>15880.5</v>
      </c>
      <c r="H392" s="226">
        <v>0</v>
      </c>
      <c r="I392" s="221">
        <f>[4]TU!I640</f>
        <v>0</v>
      </c>
      <c r="J392" s="221">
        <f>[4]TU!J640</f>
        <v>0</v>
      </c>
      <c r="K392" s="221">
        <f>[4]TU!K640</f>
        <v>0</v>
      </c>
      <c r="L392" s="221">
        <f t="shared" si="57"/>
        <v>15880.5</v>
      </c>
      <c r="M392" s="221">
        <f t="shared" si="58"/>
        <v>0</v>
      </c>
      <c r="N392" s="221">
        <v>0</v>
      </c>
      <c r="O392" s="221">
        <v>0</v>
      </c>
    </row>
    <row r="393" spans="1:15" x14ac:dyDescent="0.25">
      <c r="B393" s="184" t="s">
        <v>316</v>
      </c>
      <c r="C393" s="212">
        <v>4201000</v>
      </c>
      <c r="D393" s="212"/>
      <c r="E393" s="222"/>
      <c r="F393" s="221">
        <f>2299950.22+816599.94+38991.5</f>
        <v>3155541.66</v>
      </c>
      <c r="G393" s="221">
        <v>1045458.3399999999</v>
      </c>
      <c r="H393" s="226">
        <v>182683.47999999998</v>
      </c>
      <c r="I393" s="221">
        <f>[4]TU!I435</f>
        <v>0</v>
      </c>
      <c r="J393" s="221">
        <f>[4]TU!J435</f>
        <v>0</v>
      </c>
      <c r="K393" s="226">
        <f>[4]TU!K435</f>
        <v>0</v>
      </c>
      <c r="L393" s="221">
        <f t="shared" si="57"/>
        <v>862774.85999999987</v>
      </c>
      <c r="M393" s="221">
        <f t="shared" si="58"/>
        <v>150777.43</v>
      </c>
      <c r="N393" s="221">
        <v>31906.050000000003</v>
      </c>
      <c r="O393" s="221">
        <v>0</v>
      </c>
    </row>
    <row r="394" spans="1:15" x14ac:dyDescent="0.25">
      <c r="C394" s="212"/>
      <c r="D394" s="212"/>
      <c r="E394" s="222"/>
      <c r="F394" s="222"/>
      <c r="G394" s="221"/>
      <c r="H394" s="226"/>
      <c r="I394" s="221"/>
      <c r="J394" s="221"/>
      <c r="K394" s="221"/>
      <c r="L394" s="221"/>
      <c r="M394" s="221"/>
      <c r="N394" s="221"/>
      <c r="O394" s="221"/>
    </row>
    <row r="395" spans="1:15" ht="13.8" thickBot="1" x14ac:dyDescent="0.3">
      <c r="B395" s="260" t="s">
        <v>347</v>
      </c>
      <c r="C395" s="228">
        <f>SUM(C386:C394)</f>
        <v>88131000</v>
      </c>
      <c r="D395" s="228">
        <f t="shared" ref="D395:O395" si="59">SUM(D386:D394)</f>
        <v>0</v>
      </c>
      <c r="E395" s="228">
        <f t="shared" si="59"/>
        <v>0</v>
      </c>
      <c r="F395" s="228">
        <f t="shared" si="59"/>
        <v>76231621.689999998</v>
      </c>
      <c r="G395" s="228">
        <f t="shared" si="59"/>
        <v>11899378.310000001</v>
      </c>
      <c r="H395" s="228">
        <f t="shared" si="59"/>
        <v>5982947.5700000003</v>
      </c>
      <c r="I395" s="228">
        <f t="shared" si="59"/>
        <v>0</v>
      </c>
      <c r="J395" s="228">
        <f t="shared" si="59"/>
        <v>0</v>
      </c>
      <c r="K395" s="228">
        <f t="shared" si="59"/>
        <v>0</v>
      </c>
      <c r="L395" s="228">
        <f t="shared" si="59"/>
        <v>5916430.7400000002</v>
      </c>
      <c r="M395" s="228">
        <f t="shared" si="59"/>
        <v>233370.37</v>
      </c>
      <c r="N395" s="228">
        <f t="shared" si="59"/>
        <v>78051.290000000008</v>
      </c>
      <c r="O395" s="228">
        <f t="shared" si="59"/>
        <v>5671525.9100000001</v>
      </c>
    </row>
    <row r="396" spans="1:15" ht="13.8" thickTop="1" x14ac:dyDescent="0.25">
      <c r="C396" s="212"/>
      <c r="D396" s="212"/>
      <c r="E396" s="222"/>
      <c r="F396" s="222"/>
      <c r="G396" s="221"/>
      <c r="H396" s="226"/>
      <c r="I396" s="221"/>
      <c r="J396" s="221"/>
      <c r="K396" s="221"/>
      <c r="L396" s="221"/>
      <c r="M396" s="221"/>
      <c r="N396" s="221"/>
      <c r="O396" s="221"/>
    </row>
    <row r="397" spans="1:15" x14ac:dyDescent="0.25">
      <c r="A397" s="224" t="s">
        <v>348</v>
      </c>
      <c r="C397" s="212"/>
      <c r="D397" s="212"/>
      <c r="E397" s="222"/>
      <c r="F397" s="262"/>
      <c r="G397" s="221"/>
      <c r="H397" s="226"/>
      <c r="I397" s="221"/>
      <c r="J397" s="221"/>
      <c r="K397" s="221"/>
      <c r="L397" s="221"/>
      <c r="M397" s="221"/>
      <c r="N397" s="221"/>
      <c r="O397" s="221"/>
    </row>
    <row r="398" spans="1:15" hidden="1" x14ac:dyDescent="0.25">
      <c r="B398" s="184" t="s">
        <v>349</v>
      </c>
      <c r="C398" s="212">
        <v>3000000</v>
      </c>
      <c r="D398" s="212"/>
      <c r="E398" s="222"/>
      <c r="F398" s="221">
        <f>3000000</f>
        <v>3000000</v>
      </c>
      <c r="G398" s="221">
        <v>0</v>
      </c>
      <c r="H398" s="226">
        <v>0</v>
      </c>
      <c r="I398" s="221">
        <v>0</v>
      </c>
      <c r="J398" s="221">
        <v>0</v>
      </c>
      <c r="K398" s="221">
        <v>0</v>
      </c>
      <c r="L398" s="221">
        <f>G398-H398-I398-J398-K398</f>
        <v>0</v>
      </c>
      <c r="M398" s="221"/>
      <c r="N398" s="221"/>
      <c r="O398" s="221"/>
    </row>
    <row r="399" spans="1:15" hidden="1" x14ac:dyDescent="0.25">
      <c r="B399" s="184" t="s">
        <v>332</v>
      </c>
      <c r="C399" s="212">
        <v>43000000</v>
      </c>
      <c r="D399" s="212"/>
      <c r="E399" s="222"/>
      <c r="F399" s="221">
        <f>43000000</f>
        <v>43000000</v>
      </c>
      <c r="G399" s="221">
        <f>[4]UMCP!F438</f>
        <v>0</v>
      </c>
      <c r="H399" s="226">
        <v>0</v>
      </c>
      <c r="I399" s="221">
        <f>[4]UMCP!I438</f>
        <v>0</v>
      </c>
      <c r="J399" s="221">
        <f>[4]UMCP!J438</f>
        <v>0</v>
      </c>
      <c r="K399" s="221">
        <f>[4]UMCP!K438</f>
        <v>0</v>
      </c>
      <c r="L399" s="221">
        <f>G399-H399-I399-J399-K399</f>
        <v>0</v>
      </c>
      <c r="M399" s="221"/>
      <c r="N399" s="221"/>
      <c r="O399" s="221">
        <f>H397+K397</f>
        <v>0</v>
      </c>
    </row>
    <row r="400" spans="1:15" x14ac:dyDescent="0.25">
      <c r="B400" s="184" t="s">
        <v>350</v>
      </c>
      <c r="C400" s="225">
        <v>2000000</v>
      </c>
      <c r="D400" s="212"/>
      <c r="E400" s="222"/>
      <c r="F400" s="221">
        <f>419922.48+51833</f>
        <v>471755.48</v>
      </c>
      <c r="G400" s="221">
        <v>1528244.52</v>
      </c>
      <c r="H400" s="226">
        <v>0</v>
      </c>
      <c r="I400" s="221">
        <f>[4]UMCP!I405</f>
        <v>0</v>
      </c>
      <c r="J400" s="221">
        <f>[4]UMCP!J405</f>
        <v>0</v>
      </c>
      <c r="K400" s="221">
        <f>[4]UMCP!K405</f>
        <v>0</v>
      </c>
      <c r="L400" s="221">
        <f>G400-H400-I400-J400-K400</f>
        <v>1528244.52</v>
      </c>
      <c r="M400" s="221">
        <f>H400-N400-O400</f>
        <v>0</v>
      </c>
      <c r="N400" s="221">
        <v>0</v>
      </c>
      <c r="O400" s="221">
        <v>0</v>
      </c>
    </row>
    <row r="401" spans="1:15" hidden="1" x14ac:dyDescent="0.25">
      <c r="B401" s="184" t="s">
        <v>345</v>
      </c>
      <c r="C401" s="212">
        <v>22920000</v>
      </c>
      <c r="D401" s="212"/>
      <c r="E401" s="222"/>
      <c r="F401" s="221">
        <f>16576413.36+6343586.64</f>
        <v>22920000</v>
      </c>
      <c r="G401" s="221">
        <v>0</v>
      </c>
      <c r="H401" s="226">
        <v>0</v>
      </c>
      <c r="I401" s="221">
        <v>0</v>
      </c>
      <c r="J401" s="221">
        <v>0</v>
      </c>
      <c r="K401" s="221">
        <v>0</v>
      </c>
      <c r="L401" s="221">
        <f>G401-H401-I401-J401-K401</f>
        <v>0</v>
      </c>
      <c r="M401" s="221">
        <f>H401-N401-O401</f>
        <v>0</v>
      </c>
      <c r="N401" s="221">
        <v>0</v>
      </c>
      <c r="O401" s="221">
        <v>0</v>
      </c>
    </row>
    <row r="402" spans="1:15" x14ac:dyDescent="0.25">
      <c r="B402" s="184" t="s">
        <v>335</v>
      </c>
      <c r="C402" s="212">
        <v>23000000</v>
      </c>
      <c r="D402" s="212"/>
      <c r="E402" s="222"/>
      <c r="F402" s="221">
        <f>112506.16+14549736.15+8337757.69</f>
        <v>23000000</v>
      </c>
      <c r="G402" s="221">
        <v>0</v>
      </c>
      <c r="H402" s="226">
        <v>0</v>
      </c>
      <c r="I402" s="221">
        <f>[4]TU!I650</f>
        <v>0</v>
      </c>
      <c r="J402" s="221">
        <f>[4]TU!J650</f>
        <v>0</v>
      </c>
      <c r="K402" s="221">
        <f>[4]TU!K650</f>
        <v>0</v>
      </c>
      <c r="L402" s="221">
        <f>G402-H402-I402-J402-K402</f>
        <v>0</v>
      </c>
      <c r="M402" s="221">
        <f>H402-N402-O402</f>
        <v>0</v>
      </c>
      <c r="N402" s="221">
        <v>0</v>
      </c>
      <c r="O402" s="221">
        <v>0</v>
      </c>
    </row>
    <row r="403" spans="1:15" x14ac:dyDescent="0.25">
      <c r="C403" s="212"/>
      <c r="D403" s="212"/>
      <c r="E403" s="222"/>
      <c r="F403" s="222"/>
      <c r="G403" s="221"/>
      <c r="H403" s="226"/>
      <c r="I403" s="221"/>
      <c r="J403" s="221"/>
      <c r="K403" s="221"/>
      <c r="L403" s="221"/>
      <c r="M403" s="221"/>
      <c r="N403" s="221"/>
      <c r="O403" s="221"/>
    </row>
    <row r="404" spans="1:15" ht="13.8" thickBot="1" x14ac:dyDescent="0.3">
      <c r="B404" s="260" t="s">
        <v>351</v>
      </c>
      <c r="C404" s="228">
        <f>SUM(C398:C403)</f>
        <v>93920000</v>
      </c>
      <c r="D404" s="228">
        <f t="shared" ref="D404:O404" si="60">SUM(D398:D403)</f>
        <v>0</v>
      </c>
      <c r="E404" s="228">
        <f t="shared" si="60"/>
        <v>0</v>
      </c>
      <c r="F404" s="228">
        <f t="shared" si="60"/>
        <v>92391755.479999989</v>
      </c>
      <c r="G404" s="228">
        <f t="shared" si="60"/>
        <v>1528244.52</v>
      </c>
      <c r="H404" s="228">
        <f t="shared" si="60"/>
        <v>0</v>
      </c>
      <c r="I404" s="228">
        <f t="shared" si="60"/>
        <v>0</v>
      </c>
      <c r="J404" s="228">
        <f t="shared" si="60"/>
        <v>0</v>
      </c>
      <c r="K404" s="228">
        <f t="shared" si="60"/>
        <v>0</v>
      </c>
      <c r="L404" s="228">
        <f t="shared" si="60"/>
        <v>1528244.52</v>
      </c>
      <c r="M404" s="228">
        <f t="shared" si="60"/>
        <v>0</v>
      </c>
      <c r="N404" s="228">
        <f t="shared" si="60"/>
        <v>0</v>
      </c>
      <c r="O404" s="228">
        <f t="shared" si="60"/>
        <v>0</v>
      </c>
    </row>
    <row r="405" spans="1:15" ht="13.8" thickTop="1" x14ac:dyDescent="0.25">
      <c r="C405" s="212"/>
      <c r="D405" s="212"/>
      <c r="E405" s="222"/>
      <c r="F405" s="222"/>
      <c r="G405" s="221"/>
      <c r="H405" s="226"/>
      <c r="I405" s="221"/>
      <c r="J405" s="221"/>
      <c r="K405" s="221"/>
      <c r="L405" s="221"/>
      <c r="M405" s="221"/>
      <c r="N405" s="221"/>
      <c r="O405" s="221"/>
    </row>
    <row r="406" spans="1:15" x14ac:dyDescent="0.25">
      <c r="A406" s="224" t="s">
        <v>352</v>
      </c>
      <c r="C406" s="212"/>
      <c r="D406" s="212"/>
      <c r="E406" s="222"/>
      <c r="F406" s="262"/>
      <c r="G406" s="221"/>
      <c r="H406" s="226"/>
      <c r="I406" s="221"/>
      <c r="J406" s="221"/>
      <c r="K406" s="221"/>
      <c r="L406" s="221"/>
      <c r="M406" s="221"/>
      <c r="N406" s="221"/>
      <c r="O406" s="221"/>
    </row>
    <row r="407" spans="1:15" hidden="1" x14ac:dyDescent="0.25">
      <c r="B407" s="184" t="s">
        <v>349</v>
      </c>
      <c r="C407" s="212">
        <v>1000000</v>
      </c>
      <c r="D407" s="212"/>
      <c r="E407" s="222"/>
      <c r="F407" s="221">
        <f>3173.23+996826.77</f>
        <v>1000000</v>
      </c>
      <c r="G407" s="221">
        <v>0</v>
      </c>
      <c r="H407" s="226">
        <v>0</v>
      </c>
      <c r="I407" s="221"/>
      <c r="J407" s="221"/>
      <c r="K407" s="221"/>
      <c r="L407" s="221">
        <f t="shared" ref="L407:L413" si="61">G407-H407-I407-J407-K407</f>
        <v>0</v>
      </c>
      <c r="M407" s="221"/>
      <c r="N407" s="221"/>
      <c r="O407" s="221"/>
    </row>
    <row r="408" spans="1:15" hidden="1" x14ac:dyDescent="0.25">
      <c r="B408" s="184" t="s">
        <v>332</v>
      </c>
      <c r="C408" s="212">
        <v>23500000</v>
      </c>
      <c r="D408" s="212"/>
      <c r="E408" s="222"/>
      <c r="F408" s="221">
        <f>3173.23+5947078.15+14643227.32+2906521.3</f>
        <v>23500000.000000004</v>
      </c>
      <c r="G408" s="221">
        <f>[4]UMCP!F448</f>
        <v>0</v>
      </c>
      <c r="H408" s="226">
        <v>0</v>
      </c>
      <c r="I408" s="221"/>
      <c r="J408" s="221"/>
      <c r="K408" s="221">
        <f>[4]UMCP!K448</f>
        <v>0</v>
      </c>
      <c r="L408" s="221">
        <f t="shared" si="61"/>
        <v>0</v>
      </c>
      <c r="M408" s="221"/>
      <c r="N408" s="221"/>
      <c r="O408" s="221">
        <f>H406+K406</f>
        <v>0</v>
      </c>
    </row>
    <row r="409" spans="1:15" hidden="1" x14ac:dyDescent="0.25">
      <c r="B409" s="184" t="s">
        <v>353</v>
      </c>
      <c r="C409" s="225">
        <v>11000000</v>
      </c>
      <c r="D409" s="212"/>
      <c r="E409" s="222"/>
      <c r="F409" s="221">
        <f>25911.04+10046133.64+146122.43+781832.89</f>
        <v>11000000</v>
      </c>
      <c r="G409" s="221">
        <f>[4]UMBC!F140</f>
        <v>0</v>
      </c>
      <c r="H409" s="226">
        <v>0</v>
      </c>
      <c r="I409" s="221"/>
      <c r="J409" s="221"/>
      <c r="K409" s="221">
        <f>[4]UMBC!K140</f>
        <v>0</v>
      </c>
      <c r="L409" s="221">
        <f t="shared" si="61"/>
        <v>0</v>
      </c>
      <c r="M409" s="221"/>
      <c r="N409" s="221"/>
      <c r="O409" s="221">
        <f>H407+K407</f>
        <v>0</v>
      </c>
    </row>
    <row r="410" spans="1:15" x14ac:dyDescent="0.25">
      <c r="B410" s="184" t="s">
        <v>346</v>
      </c>
      <c r="C410" s="212">
        <v>4400000</v>
      </c>
      <c r="D410" s="212"/>
      <c r="E410" s="222"/>
      <c r="F410" s="221">
        <f>4314201.49+85798.51</f>
        <v>4400000</v>
      </c>
      <c r="G410" s="221">
        <v>-2.1827872842550278E-10</v>
      </c>
      <c r="H410" s="226">
        <v>0</v>
      </c>
      <c r="I410" s="221"/>
      <c r="J410" s="221"/>
      <c r="K410" s="221"/>
      <c r="L410" s="221">
        <f t="shared" si="61"/>
        <v>-2.1827872842550278E-10</v>
      </c>
      <c r="M410" s="221">
        <f>H410-N410-O410</f>
        <v>0</v>
      </c>
      <c r="N410" s="221">
        <v>0</v>
      </c>
      <c r="O410" s="221">
        <v>0</v>
      </c>
    </row>
    <row r="411" spans="1:15" x14ac:dyDescent="0.25">
      <c r="B411" s="184" t="s">
        <v>354</v>
      </c>
      <c r="C411" s="212">
        <v>2500000</v>
      </c>
      <c r="D411" s="212">
        <v>-2498684.27</v>
      </c>
      <c r="E411" s="222"/>
      <c r="F411" s="221">
        <f>629.58+686.15</f>
        <v>1315.73</v>
      </c>
      <c r="G411" s="221">
        <v>0</v>
      </c>
      <c r="H411" s="226">
        <v>0</v>
      </c>
      <c r="I411" s="221"/>
      <c r="J411" s="221"/>
      <c r="K411" s="221"/>
      <c r="L411" s="221">
        <f t="shared" si="61"/>
        <v>0</v>
      </c>
      <c r="M411" s="221">
        <f>H411-N411-O411</f>
        <v>0</v>
      </c>
      <c r="N411" s="221">
        <v>0</v>
      </c>
      <c r="O411" s="221">
        <v>0</v>
      </c>
    </row>
    <row r="412" spans="1:15" x14ac:dyDescent="0.25">
      <c r="B412" s="184" t="s">
        <v>335</v>
      </c>
      <c r="C412" s="212">
        <v>39000000</v>
      </c>
      <c r="D412" s="212"/>
      <c r="E412" s="222"/>
      <c r="F412" s="221">
        <f>21476541.59+17271552.08+151612.85+7394.63+2849.23</f>
        <v>38909950.380000003</v>
      </c>
      <c r="G412" s="221">
        <v>90049.61999999074</v>
      </c>
      <c r="H412" s="226">
        <v>13853.66</v>
      </c>
      <c r="I412" s="221"/>
      <c r="J412" s="221"/>
      <c r="K412" s="221">
        <f>[4]TU!K666</f>
        <v>0</v>
      </c>
      <c r="L412" s="221">
        <f t="shared" si="61"/>
        <v>76195.959999990737</v>
      </c>
      <c r="M412" s="221">
        <f>H412-N412-O412</f>
        <v>13853.66</v>
      </c>
      <c r="N412" s="221">
        <v>0</v>
      </c>
      <c r="O412" s="221">
        <v>0</v>
      </c>
    </row>
    <row r="413" spans="1:15" hidden="1" x14ac:dyDescent="0.25">
      <c r="B413" s="184" t="s">
        <v>355</v>
      </c>
      <c r="C413" s="212">
        <v>10000000</v>
      </c>
      <c r="D413" s="212"/>
      <c r="E413" s="222"/>
      <c r="F413" s="221">
        <f>4328782.66+5671217.34</f>
        <v>10000000</v>
      </c>
      <c r="G413" s="221">
        <f>[4]TU!F523</f>
        <v>0</v>
      </c>
      <c r="H413" s="226">
        <v>0</v>
      </c>
      <c r="I413" s="221"/>
      <c r="J413" s="221"/>
      <c r="K413" s="221">
        <f>[4]TU!K523</f>
        <v>0</v>
      </c>
      <c r="L413" s="221">
        <f t="shared" si="61"/>
        <v>0</v>
      </c>
      <c r="M413" s="221"/>
      <c r="N413" s="221"/>
      <c r="O413" s="221"/>
    </row>
    <row r="414" spans="1:15" x14ac:dyDescent="0.25">
      <c r="C414" s="212"/>
      <c r="D414" s="212"/>
      <c r="E414" s="222"/>
      <c r="F414" s="222"/>
      <c r="G414" s="221"/>
      <c r="H414" s="226"/>
      <c r="I414" s="221"/>
      <c r="J414" s="221"/>
      <c r="K414" s="221"/>
      <c r="L414" s="221"/>
      <c r="M414" s="221"/>
      <c r="N414" s="221"/>
      <c r="O414" s="221"/>
    </row>
    <row r="415" spans="1:15" ht="13.8" thickBot="1" x14ac:dyDescent="0.3">
      <c r="B415" s="260" t="s">
        <v>356</v>
      </c>
      <c r="C415" s="228">
        <f>SUM(C407:C414)</f>
        <v>91400000</v>
      </c>
      <c r="D415" s="228">
        <f t="shared" ref="D415:O415" si="62">SUM(D407:D414)</f>
        <v>-2498684.27</v>
      </c>
      <c r="E415" s="228">
        <f t="shared" si="62"/>
        <v>0</v>
      </c>
      <c r="F415" s="228">
        <f t="shared" si="62"/>
        <v>88811266.109999999</v>
      </c>
      <c r="G415" s="228">
        <f t="shared" si="62"/>
        <v>90049.619999990522</v>
      </c>
      <c r="H415" s="228">
        <f t="shared" si="62"/>
        <v>13853.66</v>
      </c>
      <c r="I415" s="228">
        <f t="shared" si="62"/>
        <v>0</v>
      </c>
      <c r="J415" s="228">
        <f t="shared" si="62"/>
        <v>0</v>
      </c>
      <c r="K415" s="228">
        <f t="shared" si="62"/>
        <v>0</v>
      </c>
      <c r="L415" s="228">
        <f t="shared" si="62"/>
        <v>76195.959999990519</v>
      </c>
      <c r="M415" s="228">
        <f t="shared" si="62"/>
        <v>13853.66</v>
      </c>
      <c r="N415" s="228">
        <f t="shared" si="62"/>
        <v>0</v>
      </c>
      <c r="O415" s="228">
        <f t="shared" si="62"/>
        <v>0</v>
      </c>
    </row>
    <row r="416" spans="1:15" ht="13.8" thickTop="1" x14ac:dyDescent="0.25">
      <c r="C416" s="212"/>
      <c r="D416" s="212"/>
      <c r="E416" s="222"/>
      <c r="F416" s="263"/>
      <c r="G416" s="221"/>
      <c r="H416" s="226"/>
      <c r="I416" s="221"/>
      <c r="J416" s="221"/>
      <c r="K416" s="221"/>
      <c r="L416" s="221"/>
      <c r="M416" s="221"/>
      <c r="N416" s="221"/>
      <c r="O416" s="221"/>
    </row>
    <row r="417" spans="1:15" x14ac:dyDescent="0.25">
      <c r="A417" s="224" t="s">
        <v>357</v>
      </c>
      <c r="C417" s="212"/>
      <c r="D417" s="212"/>
      <c r="E417" s="222"/>
      <c r="G417" s="221"/>
      <c r="H417" s="226"/>
      <c r="I417" s="221"/>
      <c r="J417" s="221"/>
      <c r="K417" s="221"/>
      <c r="L417" s="221"/>
      <c r="M417" s="221"/>
      <c r="N417" s="221"/>
      <c r="O417" s="221"/>
    </row>
    <row r="418" spans="1:15" x14ac:dyDescent="0.25">
      <c r="B418" s="184" t="s">
        <v>358</v>
      </c>
      <c r="C418" s="212">
        <v>10300000</v>
      </c>
      <c r="D418" s="212">
        <v>-608858.49</v>
      </c>
      <c r="E418" s="222"/>
      <c r="F418" s="222">
        <f>128951.48+1603673.83+7826920.79+98949.18+32646.23</f>
        <v>9691141.5099999998</v>
      </c>
      <c r="G418" s="221">
        <v>-3.2596290111541748E-9</v>
      </c>
      <c r="H418" s="226">
        <v>0</v>
      </c>
      <c r="I418" s="221">
        <f>[4]UMCP!I328</f>
        <v>0</v>
      </c>
      <c r="J418" s="221">
        <f>[4]UMCP!J328</f>
        <v>0</v>
      </c>
      <c r="K418" s="221">
        <f>[4]UMCP!K328</f>
        <v>0</v>
      </c>
      <c r="L418" s="221">
        <f>G418-H418-I418-J418-K418</f>
        <v>-3.2596290111541748E-9</v>
      </c>
      <c r="M418" s="221">
        <f>H418-N418-O418</f>
        <v>0</v>
      </c>
      <c r="N418" s="221">
        <v>0</v>
      </c>
      <c r="O418" s="221">
        <v>0</v>
      </c>
    </row>
    <row r="419" spans="1:15" hidden="1" x14ac:dyDescent="0.25">
      <c r="B419" s="184" t="s">
        <v>353</v>
      </c>
      <c r="C419" s="225">
        <v>31600000</v>
      </c>
      <c r="D419" s="212"/>
      <c r="E419" s="222"/>
      <c r="F419" s="221">
        <f>30939995.52+660004.48</f>
        <v>31600000</v>
      </c>
      <c r="G419" s="221">
        <v>0</v>
      </c>
      <c r="H419" s="226">
        <v>0</v>
      </c>
      <c r="I419" s="221">
        <v>0</v>
      </c>
      <c r="J419" s="221">
        <v>0</v>
      </c>
      <c r="K419" s="221">
        <v>0</v>
      </c>
      <c r="L419" s="221">
        <f>G419-H419-I419-J419-K419</f>
        <v>0</v>
      </c>
      <c r="M419" s="221">
        <f>H419-N419-O419</f>
        <v>0</v>
      </c>
      <c r="N419" s="221">
        <v>0</v>
      </c>
      <c r="O419" s="221">
        <v>0</v>
      </c>
    </row>
    <row r="420" spans="1:15" x14ac:dyDescent="0.25">
      <c r="B420" s="184" t="s">
        <v>335</v>
      </c>
      <c r="C420" s="212">
        <v>8670000</v>
      </c>
      <c r="D420" s="212"/>
      <c r="E420" s="222"/>
      <c r="F420" s="221">
        <f>4886174.55+2710737.4+583070.54+490017.51</f>
        <v>8670000</v>
      </c>
      <c r="G420" s="221">
        <v>0</v>
      </c>
      <c r="H420" s="226">
        <v>0</v>
      </c>
      <c r="I420" s="221">
        <f>[4]TU!I679</f>
        <v>0</v>
      </c>
      <c r="J420" s="221">
        <f>[4]TU!J679</f>
        <v>0</v>
      </c>
      <c r="K420" s="221">
        <f>[4]TU!K679</f>
        <v>0</v>
      </c>
      <c r="L420" s="221">
        <f>G420-H420-I420-J420-K420</f>
        <v>0</v>
      </c>
      <c r="M420" s="221">
        <f>H420-N420-O420</f>
        <v>0</v>
      </c>
      <c r="N420" s="221">
        <v>0</v>
      </c>
      <c r="O420" s="221">
        <v>0</v>
      </c>
    </row>
    <row r="421" spans="1:15" x14ac:dyDescent="0.25">
      <c r="B421" s="184" t="s">
        <v>355</v>
      </c>
      <c r="C421" s="212">
        <v>19600000</v>
      </c>
      <c r="D421" s="212">
        <v>-1918.62</v>
      </c>
      <c r="E421" s="222"/>
      <c r="F421" s="223">
        <f>511240.72+19085910.06+930.6</f>
        <v>19598081.379999999</v>
      </c>
      <c r="G421" s="221">
        <v>2.5333974917884916E-9</v>
      </c>
      <c r="H421" s="226">
        <v>0</v>
      </c>
      <c r="I421" s="221">
        <f>[4]TU!I534</f>
        <v>0</v>
      </c>
      <c r="J421" s="221">
        <f>[4]TU!J534</f>
        <v>0</v>
      </c>
      <c r="K421" s="221">
        <f>[4]TU!K534</f>
        <v>0</v>
      </c>
      <c r="L421" s="221">
        <f>G421-H421-I421-J421-K421</f>
        <v>2.5333974917884916E-9</v>
      </c>
      <c r="M421" s="221">
        <f>H421-N421-O421</f>
        <v>0</v>
      </c>
      <c r="N421" s="221">
        <v>0</v>
      </c>
      <c r="O421" s="221">
        <v>0</v>
      </c>
    </row>
    <row r="422" spans="1:15" x14ac:dyDescent="0.25">
      <c r="C422" s="212"/>
      <c r="D422" s="212"/>
      <c r="E422" s="222"/>
      <c r="F422" s="222"/>
      <c r="G422" s="221"/>
      <c r="H422" s="226"/>
      <c r="I422" s="221"/>
      <c r="J422" s="221"/>
      <c r="K422" s="221"/>
      <c r="L422" s="221"/>
      <c r="M422" s="221"/>
      <c r="N422" s="221"/>
      <c r="O422" s="221"/>
    </row>
    <row r="423" spans="1:15" ht="13.8" thickBot="1" x14ac:dyDescent="0.3">
      <c r="B423" s="260" t="s">
        <v>359</v>
      </c>
      <c r="C423" s="252">
        <f t="shared" ref="C423:J423" si="63">SUM(C418:C422)</f>
        <v>70170000</v>
      </c>
      <c r="D423" s="252">
        <f t="shared" si="63"/>
        <v>-610777.11</v>
      </c>
      <c r="E423" s="252">
        <f t="shared" si="63"/>
        <v>0</v>
      </c>
      <c r="F423" s="252">
        <f t="shared" si="63"/>
        <v>69559222.890000001</v>
      </c>
      <c r="G423" s="252">
        <f t="shared" si="63"/>
        <v>-7.262315193656832E-10</v>
      </c>
      <c r="H423" s="252">
        <f t="shared" si="63"/>
        <v>0</v>
      </c>
      <c r="I423" s="252">
        <f t="shared" si="63"/>
        <v>0</v>
      </c>
      <c r="J423" s="252">
        <f t="shared" si="63"/>
        <v>0</v>
      </c>
      <c r="K423" s="252">
        <f>SUM(K418:K422)</f>
        <v>0</v>
      </c>
      <c r="L423" s="252">
        <f>SUM(L418:L422)</f>
        <v>-7.262315193656832E-10</v>
      </c>
      <c r="M423" s="252">
        <f>SUM(M418:M422)</f>
        <v>0</v>
      </c>
      <c r="N423" s="252">
        <f>SUM(N418:N422)</f>
        <v>0</v>
      </c>
      <c r="O423" s="252">
        <f>SUM(O418:O422)</f>
        <v>0</v>
      </c>
    </row>
    <row r="424" spans="1:15" ht="13.8" thickTop="1" x14ac:dyDescent="0.25">
      <c r="C424" s="212"/>
      <c r="D424" s="212"/>
      <c r="E424" s="222"/>
      <c r="F424" s="263"/>
      <c r="G424" s="221"/>
      <c r="H424" s="226"/>
      <c r="I424" s="221"/>
      <c r="J424" s="221"/>
      <c r="K424" s="221"/>
      <c r="L424" s="221"/>
      <c r="M424" s="221"/>
      <c r="N424" s="221"/>
      <c r="O424" s="221"/>
    </row>
    <row r="425" spans="1:15" x14ac:dyDescent="0.25">
      <c r="A425" s="224" t="s">
        <v>360</v>
      </c>
      <c r="C425" s="212"/>
      <c r="D425" s="212"/>
      <c r="E425" s="222"/>
      <c r="F425" s="222"/>
      <c r="G425" s="221"/>
      <c r="H425" s="226"/>
      <c r="I425" s="221"/>
      <c r="J425" s="221"/>
      <c r="K425" s="221"/>
      <c r="L425" s="221"/>
      <c r="M425" s="221"/>
      <c r="N425" s="221"/>
      <c r="O425" s="221"/>
    </row>
    <row r="426" spans="1:15" x14ac:dyDescent="0.25">
      <c r="B426" s="184" t="s">
        <v>361</v>
      </c>
      <c r="C426" s="212">
        <v>800000</v>
      </c>
      <c r="D426" s="212"/>
      <c r="E426" s="222"/>
      <c r="F426" s="222"/>
      <c r="G426" s="221">
        <f>[4]UMES!F219</f>
        <v>800000</v>
      </c>
      <c r="H426" s="226">
        <v>0</v>
      </c>
      <c r="I426" s="221">
        <f>[4]UMES!I219</f>
        <v>0</v>
      </c>
      <c r="J426" s="221">
        <f>[4]UMES!J219</f>
        <v>0</v>
      </c>
      <c r="K426" s="221">
        <f>[4]UMES!K219</f>
        <v>0</v>
      </c>
      <c r="L426" s="221">
        <f t="shared" ref="L426:L431" si="64">G426-H426-I426-J426-K426</f>
        <v>800000</v>
      </c>
      <c r="M426" s="221"/>
      <c r="N426" s="221"/>
      <c r="O426" s="221">
        <f>H424+K424</f>
        <v>0</v>
      </c>
    </row>
    <row r="427" spans="1:15" x14ac:dyDescent="0.25">
      <c r="B427" s="184" t="s">
        <v>353</v>
      </c>
      <c r="C427" s="225">
        <v>18200000</v>
      </c>
      <c r="D427" s="212"/>
      <c r="E427" s="222"/>
      <c r="F427" s="222">
        <f>4717881.41+13482118.59</f>
        <v>18200000</v>
      </c>
      <c r="G427" s="221">
        <v>0</v>
      </c>
      <c r="H427" s="226">
        <v>0</v>
      </c>
      <c r="I427" s="221">
        <v>0</v>
      </c>
      <c r="J427" s="221">
        <v>0</v>
      </c>
      <c r="K427" s="221">
        <v>0</v>
      </c>
      <c r="L427" s="221">
        <f t="shared" si="64"/>
        <v>0</v>
      </c>
      <c r="M427" s="221"/>
      <c r="N427" s="221"/>
      <c r="O427" s="221">
        <f>H425+K425</f>
        <v>0</v>
      </c>
    </row>
    <row r="428" spans="1:15" x14ac:dyDescent="0.25">
      <c r="B428" s="184" t="s">
        <v>362</v>
      </c>
      <c r="C428" s="212">
        <v>3900000</v>
      </c>
      <c r="D428" s="212">
        <v>-449464.43</v>
      </c>
      <c r="E428" s="222"/>
      <c r="F428" s="222">
        <f>3013034.52+437501.05</f>
        <v>3450535.57</v>
      </c>
      <c r="G428" s="221">
        <v>0</v>
      </c>
      <c r="H428" s="226">
        <v>0</v>
      </c>
      <c r="I428" s="221">
        <f>[4]UMBC!I170</f>
        <v>0</v>
      </c>
      <c r="J428" s="221">
        <f>[4]UMBC!J170</f>
        <v>0</v>
      </c>
      <c r="K428" s="221">
        <f>[4]UMBC!K170</f>
        <v>0</v>
      </c>
      <c r="L428" s="221">
        <f t="shared" si="64"/>
        <v>0</v>
      </c>
      <c r="M428" s="221">
        <f>H428-N428-O428</f>
        <v>0</v>
      </c>
      <c r="N428" s="221">
        <v>0</v>
      </c>
      <c r="O428" s="221">
        <v>0</v>
      </c>
    </row>
    <row r="429" spans="1:15" hidden="1" x14ac:dyDescent="0.25">
      <c r="B429" s="184" t="s">
        <v>355</v>
      </c>
      <c r="C429" s="212">
        <v>2960000</v>
      </c>
      <c r="D429" s="212"/>
      <c r="E429" s="222"/>
      <c r="F429" s="222">
        <f>21596+2036341.73+831056.51+60854.93+10150.83</f>
        <v>2960000.0000000005</v>
      </c>
      <c r="G429" s="221">
        <v>2.4192559067159891E-10</v>
      </c>
      <c r="H429" s="226">
        <v>0</v>
      </c>
      <c r="I429" s="221">
        <f>[4]TU!I548</f>
        <v>0</v>
      </c>
      <c r="J429" s="221">
        <f>[4]TU!J548</f>
        <v>0</v>
      </c>
      <c r="K429" s="221">
        <f>[4]TU!K548</f>
        <v>0</v>
      </c>
      <c r="L429" s="221">
        <f t="shared" si="64"/>
        <v>2.4192559067159891E-10</v>
      </c>
      <c r="M429" s="221">
        <f>H429-N429-O429</f>
        <v>0</v>
      </c>
      <c r="N429" s="221">
        <v>0</v>
      </c>
      <c r="O429" s="221">
        <v>0</v>
      </c>
    </row>
    <row r="430" spans="1:15" x14ac:dyDescent="0.25">
      <c r="B430" s="184" t="s">
        <v>363</v>
      </c>
      <c r="C430" s="212">
        <v>16900000</v>
      </c>
      <c r="D430" s="212">
        <v>-6106.18</v>
      </c>
      <c r="E430" s="222"/>
      <c r="F430" s="222">
        <f>1348866.08+12676842.69+2868185.05</f>
        <v>16893893.82</v>
      </c>
      <c r="G430" s="221">
        <v>6.3300831243395805E-10</v>
      </c>
      <c r="H430" s="226">
        <v>0</v>
      </c>
      <c r="I430" s="221">
        <f>[4]TU!I447</f>
        <v>0</v>
      </c>
      <c r="J430" s="221">
        <f>[4]TU!J447</f>
        <v>0</v>
      </c>
      <c r="K430" s="221">
        <f>[4]TU!K447</f>
        <v>0</v>
      </c>
      <c r="L430" s="221">
        <f t="shared" si="64"/>
        <v>6.3300831243395805E-10</v>
      </c>
      <c r="M430" s="221">
        <f>H430-N430-O430</f>
        <v>0</v>
      </c>
      <c r="N430" s="221">
        <v>0</v>
      </c>
      <c r="O430" s="221">
        <v>0</v>
      </c>
    </row>
    <row r="431" spans="1:15" hidden="1" x14ac:dyDescent="0.25">
      <c r="B431" s="184" t="s">
        <v>364</v>
      </c>
      <c r="C431" s="212">
        <v>4000000</v>
      </c>
      <c r="D431" s="212"/>
      <c r="E431" s="222"/>
      <c r="F431" s="222">
        <f>3795858.27+201586.7+2555.03</f>
        <v>4000000</v>
      </c>
      <c r="G431" s="221">
        <v>0</v>
      </c>
      <c r="H431" s="226">
        <v>0</v>
      </c>
      <c r="I431" s="221">
        <v>0</v>
      </c>
      <c r="J431" s="221">
        <v>0</v>
      </c>
      <c r="K431" s="221">
        <v>0</v>
      </c>
      <c r="L431" s="221">
        <f t="shared" si="64"/>
        <v>0</v>
      </c>
      <c r="M431" s="221"/>
      <c r="N431" s="221"/>
      <c r="O431" s="221">
        <f>H429+K429</f>
        <v>0</v>
      </c>
    </row>
    <row r="432" spans="1:15" x14ac:dyDescent="0.25">
      <c r="C432" s="212"/>
      <c r="D432" s="212"/>
      <c r="E432" s="222"/>
      <c r="F432" s="222"/>
      <c r="G432" s="221"/>
      <c r="H432" s="226"/>
      <c r="I432" s="221"/>
      <c r="J432" s="221"/>
      <c r="K432" s="221"/>
      <c r="L432" s="221"/>
      <c r="M432" s="221"/>
      <c r="N432" s="221"/>
      <c r="O432" s="221"/>
    </row>
    <row r="433" spans="2:15" ht="13.8" thickBot="1" x14ac:dyDescent="0.3">
      <c r="B433" s="260" t="s">
        <v>365</v>
      </c>
      <c r="C433" s="228">
        <f t="shared" ref="C433:O433" si="65">SUM(C426:C432)</f>
        <v>46760000</v>
      </c>
      <c r="D433" s="228">
        <f t="shared" si="65"/>
        <v>-455570.61</v>
      </c>
      <c r="E433" s="228">
        <f t="shared" si="65"/>
        <v>0</v>
      </c>
      <c r="F433" s="251">
        <f t="shared" si="65"/>
        <v>45504429.390000001</v>
      </c>
      <c r="G433" s="228">
        <f t="shared" si="65"/>
        <v>800000.00000000081</v>
      </c>
      <c r="H433" s="228">
        <f t="shared" si="65"/>
        <v>0</v>
      </c>
      <c r="I433" s="228">
        <f t="shared" si="65"/>
        <v>0</v>
      </c>
      <c r="J433" s="228">
        <f t="shared" si="65"/>
        <v>0</v>
      </c>
      <c r="K433" s="228">
        <f t="shared" si="65"/>
        <v>0</v>
      </c>
      <c r="L433" s="228">
        <f>SUM(L426:L432)</f>
        <v>800000.00000000081</v>
      </c>
      <c r="M433" s="228">
        <f>SUM(M426:M432)</f>
        <v>0</v>
      </c>
      <c r="N433" s="228">
        <f t="shared" si="65"/>
        <v>0</v>
      </c>
      <c r="O433" s="228">
        <f t="shared" si="65"/>
        <v>0</v>
      </c>
    </row>
    <row r="434" spans="2:15" ht="13.8" thickTop="1" x14ac:dyDescent="0.25">
      <c r="B434" s="264"/>
      <c r="C434" s="265"/>
      <c r="D434" s="265"/>
      <c r="E434" s="265"/>
      <c r="F434" s="266"/>
      <c r="G434" s="265"/>
      <c r="H434" s="267"/>
      <c r="I434" s="265"/>
      <c r="J434" s="265"/>
      <c r="K434" s="265"/>
      <c r="L434" s="265"/>
      <c r="M434" s="265"/>
      <c r="N434" s="265"/>
      <c r="O434" s="265"/>
    </row>
    <row r="435" spans="2:15" x14ac:dyDescent="0.25">
      <c r="B435" s="258" t="s">
        <v>366</v>
      </c>
      <c r="C435" s="268">
        <f t="shared" ref="C435:H435" si="66">C355+C362+C368+C377+C383+C395+C404+C415+C423+C433+C349+C342</f>
        <v>679015430</v>
      </c>
      <c r="D435" s="268">
        <f t="shared" si="66"/>
        <v>-96056835.36999999</v>
      </c>
      <c r="E435" s="268">
        <f t="shared" si="66"/>
        <v>0</v>
      </c>
      <c r="F435" s="268">
        <f t="shared" si="66"/>
        <v>461915625.58999997</v>
      </c>
      <c r="G435" s="268">
        <f t="shared" si="66"/>
        <v>121042969.03999999</v>
      </c>
      <c r="H435" s="268">
        <f t="shared" si="66"/>
        <v>60884712.010000013</v>
      </c>
      <c r="I435" s="268">
        <f>I355+I362+I368+I377+I383+I395+I404+I415+I423+I433+I349</f>
        <v>0</v>
      </c>
      <c r="J435" s="268">
        <f t="shared" ref="J435:O435" si="67">J355+J362+J368+J377+J383+J395+J404+J415+J423+J433+J349+J342</f>
        <v>0</v>
      </c>
      <c r="K435" s="268">
        <f t="shared" si="67"/>
        <v>0</v>
      </c>
      <c r="L435" s="268">
        <f>L355+L362+L368+L377+L383+L395+L404+L415+L423+L433+L349+L342</f>
        <v>60158257.029999979</v>
      </c>
      <c r="M435" s="268">
        <f t="shared" si="67"/>
        <v>9555655.1500000022</v>
      </c>
      <c r="N435" s="268">
        <f t="shared" si="67"/>
        <v>4464071.6900000069</v>
      </c>
      <c r="O435" s="268">
        <f t="shared" si="67"/>
        <v>46864985.170000002</v>
      </c>
    </row>
    <row r="436" spans="2:15" x14ac:dyDescent="0.25">
      <c r="B436" s="224"/>
      <c r="C436" s="212"/>
      <c r="D436" s="212"/>
      <c r="E436" s="212"/>
      <c r="F436" s="221"/>
      <c r="G436" s="212"/>
      <c r="H436" s="225"/>
      <c r="I436" s="212"/>
      <c r="J436" s="212"/>
      <c r="K436" s="212"/>
      <c r="L436" s="212"/>
      <c r="M436" s="212"/>
      <c r="N436" s="212"/>
      <c r="O436" s="212"/>
    </row>
    <row r="437" spans="2:15" x14ac:dyDescent="0.25">
      <c r="B437" s="184" t="s">
        <v>368</v>
      </c>
      <c r="D437" s="185">
        <f>G437</f>
        <v>399504.25</v>
      </c>
      <c r="F437" s="221"/>
      <c r="G437" s="196">
        <f>H437+J437</f>
        <v>399504.25</v>
      </c>
      <c r="H437" s="269">
        <v>337504.25</v>
      </c>
      <c r="I437" s="196"/>
      <c r="J437" s="196">
        <f>'[4]USM &amp; COI'!J134</f>
        <v>62000</v>
      </c>
      <c r="K437" s="196"/>
      <c r="L437" s="221">
        <f>G437-H437-I437-J437-K437</f>
        <v>0</v>
      </c>
      <c r="M437" s="221">
        <f>H437-N437-O437+J437</f>
        <v>44500</v>
      </c>
      <c r="N437" s="221">
        <v>40000</v>
      </c>
      <c r="O437" s="221">
        <v>315004.25</v>
      </c>
    </row>
    <row r="438" spans="2:15" x14ac:dyDescent="0.25">
      <c r="F438" s="221"/>
      <c r="H438" s="269"/>
      <c r="I438" s="196"/>
      <c r="J438" s="196"/>
      <c r="K438" s="196"/>
      <c r="L438" s="221"/>
      <c r="M438" s="221"/>
      <c r="N438" s="221"/>
      <c r="O438" s="221"/>
    </row>
    <row r="439" spans="2:15" x14ac:dyDescent="0.25">
      <c r="F439" s="221"/>
      <c r="H439" s="269"/>
      <c r="I439" s="196"/>
      <c r="J439" s="196"/>
      <c r="K439" s="196"/>
      <c r="L439" s="221"/>
      <c r="M439" s="221"/>
      <c r="N439" s="221"/>
      <c r="O439" s="221"/>
    </row>
    <row r="440" spans="2:15" s="194" customFormat="1" ht="13.8" thickBot="1" x14ac:dyDescent="0.3">
      <c r="B440" s="270" t="s">
        <v>370</v>
      </c>
      <c r="C440" s="271">
        <f t="shared" ref="C440:K440" si="68">C336+C435+C437</f>
        <v>1195183533</v>
      </c>
      <c r="D440" s="271">
        <f t="shared" si="68"/>
        <v>-107240840.51999998</v>
      </c>
      <c r="E440" s="271">
        <f t="shared" si="68"/>
        <v>1651730.79</v>
      </c>
      <c r="F440" s="271">
        <f t="shared" si="68"/>
        <v>836280287.15999997</v>
      </c>
      <c r="G440" s="271">
        <f t="shared" si="68"/>
        <v>253314136.10699996</v>
      </c>
      <c r="H440" s="271">
        <f>H336+H435+H437</f>
        <v>112623204.27000001</v>
      </c>
      <c r="I440" s="271">
        <f t="shared" si="68"/>
        <v>6760280.4299999997</v>
      </c>
      <c r="J440" s="271">
        <f t="shared" si="68"/>
        <v>62000</v>
      </c>
      <c r="K440" s="271">
        <f t="shared" si="68"/>
        <v>0</v>
      </c>
      <c r="L440" s="271">
        <f>L336+L435+L437</f>
        <v>138375505.02699998</v>
      </c>
      <c r="M440" s="271">
        <f>M336+M435+M437</f>
        <v>29711503.239999998</v>
      </c>
      <c r="N440" s="271">
        <f>N336+N435+N437</f>
        <v>24736684.720000006</v>
      </c>
      <c r="O440" s="271">
        <f>O336+O435+O437</f>
        <v>60490443.120000005</v>
      </c>
    </row>
    <row r="441" spans="2:15" ht="14.25" customHeight="1" thickTop="1" x14ac:dyDescent="0.25">
      <c r="B441" s="184" t="s">
        <v>372</v>
      </c>
      <c r="C441" s="269">
        <f>50139503+40000000+25000000</f>
        <v>115139503</v>
      </c>
      <c r="F441" s="273"/>
      <c r="H441" s="186">
        <v>0</v>
      </c>
      <c r="I441" s="221"/>
      <c r="J441" s="274">
        <v>0</v>
      </c>
    </row>
    <row r="442" spans="2:15" ht="12.75" customHeight="1" x14ac:dyDescent="0.25">
      <c r="B442" s="254" t="s">
        <v>373</v>
      </c>
      <c r="C442" s="269">
        <f>C443+C444+C445</f>
        <v>2853802.9799999893</v>
      </c>
      <c r="D442" s="275"/>
      <c r="E442" s="275"/>
      <c r="F442" s="273"/>
      <c r="G442" s="195" t="s">
        <v>374</v>
      </c>
      <c r="H442" s="230">
        <f>H443-H441</f>
        <v>1941039.9600000004</v>
      </c>
      <c r="I442" s="274"/>
      <c r="J442" s="194">
        <f>J443-J441</f>
        <v>29000</v>
      </c>
      <c r="L442" s="276" t="s">
        <v>375</v>
      </c>
      <c r="M442" s="276"/>
      <c r="N442" s="333"/>
    </row>
    <row r="443" spans="2:15" x14ac:dyDescent="0.25">
      <c r="B443" s="184" t="s">
        <v>376</v>
      </c>
      <c r="C443" s="277">
        <f>25000000-C447</f>
        <v>0</v>
      </c>
      <c r="D443" s="194"/>
      <c r="E443" s="194"/>
      <c r="F443" s="184"/>
      <c r="G443" s="278"/>
      <c r="H443" s="194">
        <v>1941039.9600000004</v>
      </c>
      <c r="I443" s="194"/>
      <c r="J443" s="255">
        <v>29000</v>
      </c>
      <c r="N443" s="333"/>
      <c r="O443" s="196">
        <f>O440-'[3]Summary 2022A'!$N$408</f>
        <v>0</v>
      </c>
    </row>
    <row r="444" spans="2:15" x14ac:dyDescent="0.25">
      <c r="B444" s="184" t="s">
        <v>377</v>
      </c>
      <c r="C444" s="255">
        <f>40000000-C448</f>
        <v>2853802.8100000024</v>
      </c>
      <c r="D444" s="194"/>
      <c r="E444" s="194"/>
      <c r="F444" s="273"/>
      <c r="G444" s="278" t="s">
        <v>378</v>
      </c>
      <c r="H444" s="230">
        <f>H445-H443</f>
        <v>42700510.449999996</v>
      </c>
      <c r="I444" s="194"/>
      <c r="J444" s="194">
        <f>J445-J443</f>
        <v>1500</v>
      </c>
      <c r="L444" s="276" t="s">
        <v>379</v>
      </c>
      <c r="M444" s="276"/>
      <c r="N444" s="334"/>
    </row>
    <row r="445" spans="2:15" ht="12" customHeight="1" x14ac:dyDescent="0.25">
      <c r="B445" s="184" t="s">
        <v>380</v>
      </c>
      <c r="C445" s="185">
        <f>50139503-C449</f>
        <v>0.16999998688697815</v>
      </c>
      <c r="D445" s="194"/>
      <c r="E445" s="194"/>
      <c r="F445" s="273"/>
      <c r="G445" s="276"/>
      <c r="H445" s="255">
        <v>44641550.409999996</v>
      </c>
      <c r="I445" s="194"/>
      <c r="J445" s="255">
        <v>30500</v>
      </c>
    </row>
    <row r="446" spans="2:15" ht="12" customHeight="1" x14ac:dyDescent="0.25">
      <c r="D446" s="194"/>
      <c r="E446" s="194"/>
      <c r="F446" s="273"/>
      <c r="G446" s="278" t="s">
        <v>381</v>
      </c>
      <c r="H446" s="230">
        <f>H447-H445</f>
        <v>1784501.3800000027</v>
      </c>
      <c r="I446" s="194"/>
      <c r="J446" s="194">
        <f>J447-J445</f>
        <v>31500</v>
      </c>
      <c r="L446" s="286" t="s">
        <v>523</v>
      </c>
    </row>
    <row r="447" spans="2:15" x14ac:dyDescent="0.25">
      <c r="B447" s="184" t="s">
        <v>382</v>
      </c>
      <c r="C447" s="185">
        <f>H336-H50-H70-H71-H72-H79-H80-H81-H98-H99-H100-H102-H101-H122-H28-H29-H73-'[4]FR using 20-yr Bond'!H2-H7</f>
        <v>24999999.999999996</v>
      </c>
      <c r="D447" s="279"/>
      <c r="F447" s="273"/>
      <c r="G447" s="280"/>
      <c r="H447" s="255">
        <v>46426051.789999999</v>
      </c>
      <c r="I447" s="281"/>
      <c r="J447" s="281">
        <v>62000</v>
      </c>
    </row>
    <row r="448" spans="2:15" x14ac:dyDescent="0.25">
      <c r="B448" s="184" t="s">
        <v>383</v>
      </c>
      <c r="C448" s="185">
        <f>H440-H437-C447-C449</f>
        <v>37146197.189999998</v>
      </c>
      <c r="G448" s="278" t="s">
        <v>384</v>
      </c>
      <c r="H448" s="230">
        <f>H449-H447</f>
        <v>409087.37000000477</v>
      </c>
    </row>
    <row r="449" spans="2:15" x14ac:dyDescent="0.25">
      <c r="B449" s="184" t="s">
        <v>385</v>
      </c>
      <c r="C449" s="185">
        <f>H365+H366+H371+H372+H387</f>
        <v>50139502.830000013</v>
      </c>
      <c r="G449" s="276"/>
      <c r="H449" s="186">
        <v>46835139.160000004</v>
      </c>
      <c r="O449" s="269"/>
    </row>
    <row r="450" spans="2:15" x14ac:dyDescent="0.25">
      <c r="G450" s="278" t="s">
        <v>386</v>
      </c>
      <c r="H450" s="230">
        <f>H451-H449</f>
        <v>16157.25</v>
      </c>
      <c r="L450" s="269"/>
      <c r="M450" s="269"/>
      <c r="N450" s="269"/>
      <c r="O450" s="269"/>
    </row>
    <row r="451" spans="2:15" x14ac:dyDescent="0.25">
      <c r="B451" s="186" t="s">
        <v>387</v>
      </c>
      <c r="C451" s="269" t="s">
        <v>388</v>
      </c>
      <c r="G451" s="276"/>
      <c r="H451" s="186">
        <v>46851296.410000004</v>
      </c>
    </row>
    <row r="452" spans="2:15" x14ac:dyDescent="0.25">
      <c r="B452" s="186" t="s">
        <v>389</v>
      </c>
      <c r="C452" s="269" t="s">
        <v>390</v>
      </c>
      <c r="G452" s="278" t="s">
        <v>391</v>
      </c>
      <c r="H452" s="230">
        <f>H453-H451</f>
        <v>2592391.3299999908</v>
      </c>
    </row>
    <row r="453" spans="2:15" hidden="1" x14ac:dyDescent="0.25">
      <c r="G453" s="276"/>
      <c r="H453" s="186">
        <v>49443687.739999995</v>
      </c>
    </row>
    <row r="454" spans="2:15" hidden="1" x14ac:dyDescent="0.25">
      <c r="G454" s="278" t="s">
        <v>392</v>
      </c>
      <c r="H454" s="194">
        <f>H455-H453</f>
        <v>1625044.9700000063</v>
      </c>
    </row>
    <row r="455" spans="2:15" hidden="1" x14ac:dyDescent="0.25">
      <c r="G455" s="276"/>
      <c r="H455" s="186">
        <v>51068732.710000001</v>
      </c>
    </row>
    <row r="456" spans="2:15" hidden="1" x14ac:dyDescent="0.25">
      <c r="G456" s="278" t="s">
        <v>393</v>
      </c>
      <c r="H456" s="194">
        <f>H457-H455</f>
        <v>399330.03000000119</v>
      </c>
    </row>
    <row r="457" spans="2:15" hidden="1" x14ac:dyDescent="0.25">
      <c r="G457" s="276"/>
      <c r="H457" s="186">
        <v>51468062.740000002</v>
      </c>
    </row>
    <row r="458" spans="2:15" hidden="1" x14ac:dyDescent="0.25">
      <c r="G458" s="278" t="s">
        <v>394</v>
      </c>
      <c r="H458" s="194">
        <f>H459-H457</f>
        <v>851972.21999999881</v>
      </c>
    </row>
    <row r="459" spans="2:15" hidden="1" x14ac:dyDescent="0.25">
      <c r="G459" s="276"/>
      <c r="H459" s="186">
        <v>52320034.960000001</v>
      </c>
    </row>
    <row r="460" spans="2:15" hidden="1" x14ac:dyDescent="0.25">
      <c r="G460" s="278" t="s">
        <v>395</v>
      </c>
      <c r="H460" s="194">
        <f>H461-H459</f>
        <v>1078847.5300000012</v>
      </c>
    </row>
    <row r="461" spans="2:15" hidden="1" x14ac:dyDescent="0.25">
      <c r="G461" s="276"/>
      <c r="H461" s="186">
        <v>53398882.490000002</v>
      </c>
    </row>
    <row r="462" spans="2:15" hidden="1" x14ac:dyDescent="0.25">
      <c r="G462" s="278" t="s">
        <v>396</v>
      </c>
      <c r="H462" s="194">
        <f>H463-H461</f>
        <v>2462179.9299999997</v>
      </c>
    </row>
    <row r="463" spans="2:15" hidden="1" x14ac:dyDescent="0.25">
      <c r="G463" s="276"/>
      <c r="H463" s="186">
        <v>55861062.420000002</v>
      </c>
      <c r="K463" s="212"/>
      <c r="L463" s="283"/>
      <c r="M463" s="283"/>
      <c r="N463" s="283"/>
      <c r="O463" s="283"/>
    </row>
    <row r="464" spans="2:15" hidden="1" x14ac:dyDescent="0.25">
      <c r="G464" s="278" t="s">
        <v>397</v>
      </c>
      <c r="H464" s="194">
        <f>H465-H463</f>
        <v>100161.94999999553</v>
      </c>
      <c r="K464" s="194"/>
      <c r="L464" s="284"/>
      <c r="M464" s="284"/>
      <c r="N464" s="284"/>
      <c r="O464" s="284"/>
    </row>
    <row r="465" spans="7:15" hidden="1" x14ac:dyDescent="0.25">
      <c r="G465" s="276"/>
      <c r="H465" s="186">
        <v>55961224.369999997</v>
      </c>
      <c r="K465" s="194"/>
      <c r="L465" s="285"/>
      <c r="M465" s="285"/>
      <c r="N465" s="285"/>
      <c r="O465" s="285"/>
    </row>
    <row r="466" spans="7:15" hidden="1" x14ac:dyDescent="0.25">
      <c r="G466" s="278" t="s">
        <v>398</v>
      </c>
      <c r="H466" s="194">
        <f>H467-H465</f>
        <v>101774.70000000298</v>
      </c>
      <c r="K466" s="194"/>
      <c r="L466" s="284"/>
      <c r="M466" s="284"/>
      <c r="N466" s="284"/>
      <c r="O466" s="284"/>
    </row>
    <row r="467" spans="7:15" hidden="1" x14ac:dyDescent="0.25">
      <c r="G467" s="276"/>
      <c r="H467" s="186">
        <v>56062999.07</v>
      </c>
      <c r="K467" s="194"/>
      <c r="L467" s="285"/>
      <c r="M467" s="285"/>
      <c r="N467" s="285"/>
      <c r="O467" s="285"/>
    </row>
    <row r="468" spans="7:15" hidden="1" x14ac:dyDescent="0.25">
      <c r="G468" s="278" t="s">
        <v>399</v>
      </c>
      <c r="H468" s="194">
        <f>H469-H467</f>
        <v>230721.17000000179</v>
      </c>
      <c r="K468" s="194"/>
      <c r="L468" s="284"/>
      <c r="M468" s="284"/>
      <c r="N468" s="284"/>
      <c r="O468" s="284"/>
    </row>
    <row r="469" spans="7:15" hidden="1" x14ac:dyDescent="0.25">
      <c r="G469" s="276"/>
      <c r="H469" s="186">
        <v>56293720.240000002</v>
      </c>
      <c r="K469" s="285"/>
      <c r="L469" s="284"/>
      <c r="M469" s="284"/>
      <c r="N469" s="284"/>
      <c r="O469" s="284"/>
    </row>
    <row r="470" spans="7:15" hidden="1" x14ac:dyDescent="0.25">
      <c r="G470" s="278" t="s">
        <v>400</v>
      </c>
      <c r="H470" s="194">
        <f>H471-H469</f>
        <v>3121389.3500000015</v>
      </c>
      <c r="K470" s="194"/>
      <c r="L470" s="284"/>
      <c r="M470" s="284"/>
      <c r="N470" s="284"/>
      <c r="O470" s="284"/>
    </row>
    <row r="471" spans="7:15" hidden="1" x14ac:dyDescent="0.25">
      <c r="G471" s="276"/>
      <c r="H471" s="186">
        <v>59415109.590000004</v>
      </c>
    </row>
    <row r="472" spans="7:15" hidden="1" x14ac:dyDescent="0.25">
      <c r="G472" s="278" t="s">
        <v>401</v>
      </c>
      <c r="H472" s="194">
        <f>H473-H471</f>
        <v>206628.31999999285</v>
      </c>
      <c r="K472" s="194"/>
      <c r="L472" s="284"/>
      <c r="M472" s="284"/>
      <c r="N472" s="284"/>
      <c r="O472" s="284"/>
    </row>
    <row r="473" spans="7:15" hidden="1" x14ac:dyDescent="0.25">
      <c r="G473" s="276"/>
      <c r="H473" s="186">
        <v>59621737.909999996</v>
      </c>
    </row>
    <row r="474" spans="7:15" hidden="1" x14ac:dyDescent="0.25">
      <c r="G474" s="278" t="s">
        <v>402</v>
      </c>
      <c r="H474" s="194">
        <f>H475-H473</f>
        <v>255723.22000000626</v>
      </c>
      <c r="J474" s="186"/>
      <c r="K474" s="194"/>
      <c r="L474" s="284"/>
      <c r="M474" s="284"/>
      <c r="N474" s="284"/>
      <c r="O474" s="284"/>
    </row>
    <row r="475" spans="7:15" hidden="1" x14ac:dyDescent="0.25">
      <c r="G475" s="276"/>
      <c r="H475" s="186">
        <v>59877461.130000003</v>
      </c>
    </row>
    <row r="476" spans="7:15" hidden="1" x14ac:dyDescent="0.25">
      <c r="G476" s="278" t="s">
        <v>403</v>
      </c>
      <c r="H476" s="194">
        <f>H477-H475</f>
        <v>612981.98999999464</v>
      </c>
      <c r="K476" s="194"/>
      <c r="L476" s="284"/>
      <c r="M476" s="284"/>
      <c r="N476" s="284"/>
      <c r="O476" s="284"/>
    </row>
    <row r="477" spans="7:15" hidden="1" x14ac:dyDescent="0.25">
      <c r="G477" s="276"/>
      <c r="H477" s="186">
        <v>60490443.119999997</v>
      </c>
    </row>
    <row r="478" spans="7:15" hidden="1" x14ac:dyDescent="0.25">
      <c r="G478" s="278" t="s">
        <v>404</v>
      </c>
      <c r="H478" s="194">
        <f>H479-H477</f>
        <v>430016.23000000417</v>
      </c>
      <c r="K478" s="194"/>
      <c r="L478" s="284"/>
      <c r="M478" s="284"/>
      <c r="N478" s="284"/>
    </row>
    <row r="479" spans="7:15" hidden="1" x14ac:dyDescent="0.25">
      <c r="G479" s="276"/>
      <c r="H479" s="186">
        <v>60920459.350000001</v>
      </c>
    </row>
    <row r="480" spans="7:15" hidden="1" x14ac:dyDescent="0.25">
      <c r="G480" s="278" t="s">
        <v>405</v>
      </c>
      <c r="H480" s="194">
        <f>H481-H479</f>
        <v>337549.54999999702</v>
      </c>
      <c r="K480" s="194"/>
      <c r="L480" s="284"/>
      <c r="M480" s="284"/>
      <c r="N480" s="284"/>
    </row>
    <row r="481" spans="7:15" hidden="1" x14ac:dyDescent="0.25">
      <c r="G481" s="276"/>
      <c r="H481" s="186">
        <v>61258008.899999999</v>
      </c>
      <c r="K481" s="191"/>
      <c r="L481" s="189"/>
      <c r="M481" s="189"/>
      <c r="N481" s="189"/>
      <c r="O481" s="189"/>
    </row>
    <row r="482" spans="7:15" hidden="1" x14ac:dyDescent="0.25">
      <c r="G482" s="286" t="s">
        <v>406</v>
      </c>
      <c r="H482" s="194">
        <f>H483-H481</f>
        <v>150728.3900000006</v>
      </c>
      <c r="K482" s="194"/>
      <c r="L482" s="284"/>
      <c r="M482" s="284"/>
      <c r="N482" s="284"/>
      <c r="O482" s="189"/>
    </row>
    <row r="483" spans="7:15" hidden="1" x14ac:dyDescent="0.25">
      <c r="G483" s="276"/>
      <c r="H483" s="186">
        <v>61408737.289999999</v>
      </c>
      <c r="K483" s="191"/>
      <c r="L483" s="189"/>
      <c r="M483" s="189"/>
      <c r="N483" s="189"/>
      <c r="O483" s="189"/>
    </row>
    <row r="484" spans="7:15" hidden="1" x14ac:dyDescent="0.25">
      <c r="G484" s="276" t="s">
        <v>407</v>
      </c>
      <c r="H484" s="194">
        <f>H485-H483</f>
        <v>199086.68999999762</v>
      </c>
      <c r="K484" s="194"/>
      <c r="L484" s="283"/>
      <c r="M484" s="283"/>
      <c r="N484" s="283"/>
      <c r="O484" s="189"/>
    </row>
    <row r="485" spans="7:15" hidden="1" x14ac:dyDescent="0.25">
      <c r="G485" s="276"/>
      <c r="H485" s="186">
        <v>61607823.979999997</v>
      </c>
      <c r="K485" s="191"/>
      <c r="L485" s="189"/>
      <c r="M485" s="189"/>
      <c r="N485" s="189"/>
      <c r="O485" s="189"/>
    </row>
    <row r="486" spans="7:15" hidden="1" x14ac:dyDescent="0.25">
      <c r="G486" s="276" t="s">
        <v>408</v>
      </c>
      <c r="H486" s="194">
        <f>H487-H485</f>
        <v>194893.69000000507</v>
      </c>
      <c r="K486" s="194"/>
      <c r="L486" s="283"/>
      <c r="M486" s="283"/>
      <c r="N486" s="283"/>
      <c r="O486" s="189"/>
    </row>
    <row r="487" spans="7:15" hidden="1" x14ac:dyDescent="0.25">
      <c r="G487" s="276"/>
      <c r="H487" s="186">
        <v>61802717.670000002</v>
      </c>
      <c r="K487" s="191"/>
      <c r="L487" s="189"/>
      <c r="M487" s="189"/>
      <c r="N487" s="189"/>
      <c r="O487" s="189"/>
    </row>
    <row r="488" spans="7:15" hidden="1" x14ac:dyDescent="0.25">
      <c r="G488" s="276" t="s">
        <v>409</v>
      </c>
      <c r="H488" s="194">
        <f>H489-H487</f>
        <v>578109.71999999881</v>
      </c>
      <c r="K488" s="194"/>
      <c r="L488" s="283"/>
      <c r="M488" s="283"/>
      <c r="N488" s="283"/>
      <c r="O488" s="189"/>
    </row>
    <row r="489" spans="7:15" hidden="1" x14ac:dyDescent="0.25">
      <c r="G489" s="276"/>
      <c r="H489" s="186">
        <v>62380827.390000001</v>
      </c>
    </row>
    <row r="490" spans="7:15" hidden="1" x14ac:dyDescent="0.25">
      <c r="G490" s="286" t="s">
        <v>410</v>
      </c>
      <c r="H490" s="194">
        <f>H491-H489</f>
        <v>344951.29000000656</v>
      </c>
      <c r="K490" s="194"/>
      <c r="L490" s="283"/>
      <c r="M490" s="283"/>
      <c r="N490" s="283"/>
    </row>
    <row r="491" spans="7:15" hidden="1" x14ac:dyDescent="0.25">
      <c r="G491" s="276"/>
      <c r="H491" s="186">
        <v>62725778.680000007</v>
      </c>
    </row>
    <row r="492" spans="7:15" hidden="1" x14ac:dyDescent="0.25">
      <c r="G492" s="286" t="s">
        <v>411</v>
      </c>
      <c r="H492" s="194">
        <f>H493-H491</f>
        <v>377237</v>
      </c>
      <c r="K492" s="194"/>
      <c r="L492" s="283"/>
      <c r="M492" s="283"/>
      <c r="N492" s="283"/>
    </row>
    <row r="493" spans="7:15" hidden="1" x14ac:dyDescent="0.25">
      <c r="G493" s="276"/>
      <c r="H493" s="186">
        <v>63103015.680000007</v>
      </c>
    </row>
    <row r="494" spans="7:15" hidden="1" x14ac:dyDescent="0.25">
      <c r="G494" s="286" t="s">
        <v>412</v>
      </c>
      <c r="H494" s="194">
        <f>H495-H493</f>
        <v>569361.15000000596</v>
      </c>
      <c r="K494" s="194"/>
      <c r="L494" s="287"/>
      <c r="M494" s="287"/>
      <c r="N494" s="287"/>
    </row>
    <row r="495" spans="7:15" hidden="1" x14ac:dyDescent="0.25">
      <c r="G495" s="276"/>
      <c r="H495" s="186">
        <v>63672376.830000013</v>
      </c>
    </row>
    <row r="496" spans="7:15" hidden="1" x14ac:dyDescent="0.25">
      <c r="G496" s="286" t="s">
        <v>413</v>
      </c>
      <c r="H496" s="194">
        <f>H497-H495</f>
        <v>215403</v>
      </c>
      <c r="K496" s="194"/>
      <c r="L496" s="287"/>
      <c r="M496" s="287"/>
      <c r="N496" s="287"/>
    </row>
    <row r="497" spans="2:14" hidden="1" x14ac:dyDescent="0.25">
      <c r="B497" s="184" t="s">
        <v>414</v>
      </c>
      <c r="C497" s="185">
        <f>'[2]Summary 2021A'!$C$791</f>
        <v>242000000</v>
      </c>
      <c r="G497" s="276"/>
      <c r="H497" s="186">
        <v>63887779.830000013</v>
      </c>
    </row>
    <row r="498" spans="2:14" hidden="1" x14ac:dyDescent="0.25">
      <c r="G498" s="286" t="s">
        <v>415</v>
      </c>
      <c r="H498" s="194">
        <f>H499-H497</f>
        <v>76886.269999995828</v>
      </c>
      <c r="K498" s="194"/>
      <c r="L498" s="276"/>
      <c r="M498" s="276"/>
      <c r="N498" s="287"/>
    </row>
    <row r="499" spans="2:14" hidden="1" x14ac:dyDescent="0.25">
      <c r="G499" s="276"/>
      <c r="H499" s="185">
        <v>63964666.100000009</v>
      </c>
      <c r="L499" s="276"/>
      <c r="M499" s="276"/>
    </row>
    <row r="500" spans="2:14" hidden="1" x14ac:dyDescent="0.25">
      <c r="G500" s="286" t="s">
        <v>416</v>
      </c>
      <c r="H500" s="194">
        <f>H501-H499</f>
        <v>44536.930000007153</v>
      </c>
      <c r="K500" s="194"/>
      <c r="L500" s="276"/>
      <c r="M500" s="276"/>
      <c r="N500" s="287"/>
    </row>
    <row r="501" spans="2:14" hidden="1" x14ac:dyDescent="0.25">
      <c r="G501" s="276"/>
      <c r="H501" s="186">
        <v>64009203.030000016</v>
      </c>
    </row>
    <row r="502" spans="2:14" hidden="1" x14ac:dyDescent="0.25">
      <c r="F502" s="288">
        <v>45216</v>
      </c>
      <c r="G502" s="286" t="s">
        <v>417</v>
      </c>
      <c r="H502" s="194">
        <f>H503-H501</f>
        <v>3812242.6199999899</v>
      </c>
      <c r="K502" s="194"/>
      <c r="L502" s="287"/>
      <c r="M502" s="287"/>
      <c r="N502" s="287"/>
    </row>
    <row r="503" spans="2:14" hidden="1" x14ac:dyDescent="0.25">
      <c r="F503" s="288"/>
      <c r="G503" s="276"/>
      <c r="H503" s="186">
        <v>67821445.650000006</v>
      </c>
    </row>
    <row r="504" spans="2:14" hidden="1" x14ac:dyDescent="0.25">
      <c r="F504" s="288">
        <v>45219</v>
      </c>
      <c r="G504" s="286" t="s">
        <v>418</v>
      </c>
      <c r="H504" s="194">
        <f>H505-H503</f>
        <v>100987.70000000298</v>
      </c>
      <c r="K504" s="194"/>
      <c r="L504" s="287"/>
      <c r="M504" s="287"/>
      <c r="N504" s="287"/>
    </row>
    <row r="505" spans="2:14" hidden="1" x14ac:dyDescent="0.25">
      <c r="F505" s="288"/>
      <c r="G505" s="276"/>
      <c r="H505" s="190">
        <v>67922433.350000009</v>
      </c>
    </row>
    <row r="506" spans="2:14" hidden="1" x14ac:dyDescent="0.25">
      <c r="F506" s="288"/>
      <c r="G506" s="286" t="s">
        <v>419</v>
      </c>
      <c r="H506" s="194">
        <f>H507-H505</f>
        <v>198</v>
      </c>
      <c r="K506" s="194"/>
      <c r="L506" s="289"/>
      <c r="M506" s="289"/>
      <c r="N506" s="289"/>
    </row>
    <row r="507" spans="2:14" ht="13.5" hidden="1" customHeight="1" x14ac:dyDescent="0.25">
      <c r="F507" s="288"/>
      <c r="G507" s="276"/>
      <c r="H507" s="190">
        <v>67922631.350000009</v>
      </c>
      <c r="L507" s="289"/>
      <c r="M507" s="289"/>
      <c r="N507" s="289"/>
    </row>
    <row r="508" spans="2:14" hidden="1" x14ac:dyDescent="0.25">
      <c r="F508" s="288">
        <v>45226</v>
      </c>
      <c r="G508" s="286" t="s">
        <v>420</v>
      </c>
      <c r="H508" s="194">
        <f>H509-H507</f>
        <v>2960.0400000065565</v>
      </c>
      <c r="K508" s="194"/>
      <c r="L508" s="289"/>
      <c r="M508" s="289"/>
      <c r="N508" s="289"/>
    </row>
    <row r="509" spans="2:14" hidden="1" x14ac:dyDescent="0.25">
      <c r="F509" s="288"/>
      <c r="G509" s="276"/>
      <c r="H509" s="186">
        <v>67925591.390000015</v>
      </c>
      <c r="L509" s="289"/>
      <c r="M509" s="289"/>
      <c r="N509" s="289"/>
    </row>
    <row r="510" spans="2:14" hidden="1" x14ac:dyDescent="0.25">
      <c r="F510" s="288">
        <v>45237</v>
      </c>
      <c r="G510" s="286" t="s">
        <v>421</v>
      </c>
      <c r="H510" s="194">
        <f>H511-H509</f>
        <v>131078.72999998927</v>
      </c>
      <c r="K510" s="194"/>
      <c r="L510" s="289"/>
      <c r="M510" s="289"/>
      <c r="N510" s="289"/>
    </row>
    <row r="511" spans="2:14" hidden="1" x14ac:dyDescent="0.25">
      <c r="F511" s="288"/>
      <c r="G511" s="276"/>
      <c r="H511" s="186">
        <v>68056670.120000005</v>
      </c>
      <c r="N511" s="289"/>
    </row>
    <row r="512" spans="2:14" hidden="1" x14ac:dyDescent="0.25">
      <c r="F512" s="288">
        <v>45246</v>
      </c>
      <c r="G512" s="286" t="s">
        <v>422</v>
      </c>
      <c r="H512" s="194">
        <f>H513-H511</f>
        <v>217976.22999998927</v>
      </c>
      <c r="N512" s="289"/>
    </row>
    <row r="513" spans="6:14" hidden="1" x14ac:dyDescent="0.25">
      <c r="F513" s="288"/>
      <c r="G513" s="276"/>
      <c r="H513" s="186">
        <v>68274646.349999994</v>
      </c>
      <c r="N513" s="289"/>
    </row>
    <row r="514" spans="6:14" hidden="1" x14ac:dyDescent="0.25">
      <c r="F514" s="288">
        <v>45251</v>
      </c>
      <c r="G514" s="286" t="s">
        <v>423</v>
      </c>
      <c r="H514" s="194">
        <f>H515-H513</f>
        <v>57363.640000015497</v>
      </c>
      <c r="N514" s="290"/>
    </row>
    <row r="515" spans="6:14" hidden="1" x14ac:dyDescent="0.25">
      <c r="F515" s="288"/>
      <c r="G515" s="276"/>
      <c r="H515" s="186">
        <v>68332009.99000001</v>
      </c>
      <c r="L515" s="289"/>
      <c r="M515" s="289"/>
      <c r="N515" s="289"/>
    </row>
    <row r="516" spans="6:14" hidden="1" x14ac:dyDescent="0.25">
      <c r="F516" s="288">
        <v>45265</v>
      </c>
      <c r="G516" s="286" t="s">
        <v>424</v>
      </c>
      <c r="H516" s="194">
        <f>H517-H515</f>
        <v>79790.949999988079</v>
      </c>
      <c r="K516" s="194"/>
      <c r="L516" s="289"/>
      <c r="M516" s="289"/>
      <c r="N516" s="290"/>
    </row>
    <row r="517" spans="6:14" hidden="1" x14ac:dyDescent="0.25">
      <c r="F517" s="288"/>
      <c r="G517" s="276"/>
      <c r="H517" s="186">
        <v>68411800.939999998</v>
      </c>
      <c r="L517" s="289"/>
      <c r="M517" s="289"/>
      <c r="N517" s="289"/>
    </row>
    <row r="518" spans="6:14" hidden="1" x14ac:dyDescent="0.25">
      <c r="F518" s="288">
        <v>45273</v>
      </c>
      <c r="G518" s="286" t="s">
        <v>425</v>
      </c>
      <c r="H518" s="194">
        <f>H519-H517</f>
        <v>1612407.650000006</v>
      </c>
      <c r="K518" s="194"/>
      <c r="L518" s="290"/>
      <c r="M518" s="290"/>
      <c r="N518" s="290"/>
    </row>
    <row r="519" spans="6:14" hidden="1" x14ac:dyDescent="0.25">
      <c r="F519" s="288"/>
      <c r="G519" s="276"/>
      <c r="H519" s="186">
        <v>70024208.590000004</v>
      </c>
      <c r="L519" s="289"/>
      <c r="M519" s="289"/>
      <c r="N519" s="289"/>
    </row>
    <row r="520" spans="6:14" hidden="1" x14ac:dyDescent="0.25">
      <c r="F520" s="288">
        <v>45279</v>
      </c>
      <c r="G520" s="286" t="s">
        <v>426</v>
      </c>
      <c r="H520" s="194">
        <f>H521-H519</f>
        <v>94671.70000000298</v>
      </c>
      <c r="K520" s="194"/>
      <c r="L520" s="290"/>
      <c r="M520" s="290"/>
      <c r="N520" s="289"/>
    </row>
    <row r="521" spans="6:14" hidden="1" x14ac:dyDescent="0.25">
      <c r="F521" s="288"/>
      <c r="G521" s="276"/>
      <c r="H521" s="186">
        <v>70118880.290000007</v>
      </c>
      <c r="K521" s="289"/>
      <c r="L521" s="289"/>
      <c r="M521" s="289"/>
      <c r="N521" s="289"/>
    </row>
    <row r="522" spans="6:14" hidden="1" x14ac:dyDescent="0.25">
      <c r="F522" s="288">
        <v>45280</v>
      </c>
      <c r="G522" s="286" t="s">
        <v>427</v>
      </c>
      <c r="H522" s="194">
        <f>H523-H521</f>
        <v>2216432.9699999988</v>
      </c>
      <c r="K522" s="194"/>
      <c r="L522" s="289"/>
      <c r="M522" s="289"/>
      <c r="N522" s="289"/>
    </row>
    <row r="523" spans="6:14" hidden="1" x14ac:dyDescent="0.25">
      <c r="F523" s="288"/>
      <c r="G523" s="276"/>
      <c r="H523" s="186">
        <v>72335313.260000005</v>
      </c>
      <c r="K523" s="196"/>
    </row>
    <row r="524" spans="6:14" hidden="1" x14ac:dyDescent="0.25">
      <c r="F524" s="288">
        <v>44935</v>
      </c>
      <c r="G524" s="286" t="s">
        <v>428</v>
      </c>
      <c r="H524" s="194">
        <f>H525-H523</f>
        <v>23535.630000010133</v>
      </c>
      <c r="K524" s="194"/>
      <c r="L524" s="275"/>
      <c r="M524" s="275"/>
      <c r="N524" s="275"/>
    </row>
    <row r="525" spans="6:14" hidden="1" x14ac:dyDescent="0.25">
      <c r="F525" s="288"/>
      <c r="G525" s="276"/>
      <c r="H525" s="186">
        <v>72358848.890000015</v>
      </c>
    </row>
    <row r="526" spans="6:14" hidden="1" x14ac:dyDescent="0.25">
      <c r="F526" s="288">
        <v>44943</v>
      </c>
      <c r="G526" s="286" t="s">
        <v>429</v>
      </c>
      <c r="H526" s="194">
        <f>H527-H525</f>
        <v>201212.43999999762</v>
      </c>
      <c r="K526" s="194"/>
      <c r="L526" s="275"/>
      <c r="M526" s="275"/>
      <c r="N526" s="275"/>
    </row>
    <row r="527" spans="6:14" hidden="1" x14ac:dyDescent="0.25">
      <c r="F527" s="288"/>
      <c r="G527" s="276"/>
      <c r="H527" s="186">
        <v>72560061.330000013</v>
      </c>
    </row>
    <row r="528" spans="6:14" hidden="1" x14ac:dyDescent="0.25">
      <c r="F528" s="288">
        <v>44951</v>
      </c>
      <c r="G528" s="286" t="s">
        <v>430</v>
      </c>
      <c r="H528" s="194">
        <f>H529-H527</f>
        <v>637606.39999999106</v>
      </c>
      <c r="K528" s="194"/>
      <c r="L528" s="275"/>
      <c r="M528" s="275"/>
      <c r="N528" s="275"/>
    </row>
    <row r="529" spans="6:14" hidden="1" x14ac:dyDescent="0.25">
      <c r="F529" s="288"/>
      <c r="G529" s="276"/>
      <c r="H529" s="186">
        <v>73197667.730000004</v>
      </c>
    </row>
    <row r="530" spans="6:14" hidden="1" x14ac:dyDescent="0.25">
      <c r="F530" s="288">
        <v>44956</v>
      </c>
      <c r="G530" s="286" t="s">
        <v>431</v>
      </c>
      <c r="H530" s="194">
        <f>H531-H529</f>
        <v>2576</v>
      </c>
    </row>
    <row r="531" spans="6:14" hidden="1" x14ac:dyDescent="0.25">
      <c r="F531" s="288"/>
      <c r="G531" s="276"/>
      <c r="H531" s="186">
        <v>73200243.730000004</v>
      </c>
    </row>
    <row r="532" spans="6:14" hidden="1" x14ac:dyDescent="0.25">
      <c r="F532" s="288">
        <v>44963</v>
      </c>
      <c r="G532" s="286" t="s">
        <v>432</v>
      </c>
      <c r="H532" s="194">
        <f>H533-H531</f>
        <v>191564.38000001013</v>
      </c>
    </row>
    <row r="533" spans="6:14" hidden="1" x14ac:dyDescent="0.25">
      <c r="F533" s="288"/>
      <c r="G533" s="276"/>
      <c r="H533" s="186">
        <v>73391808.110000014</v>
      </c>
    </row>
    <row r="534" spans="6:14" hidden="1" x14ac:dyDescent="0.25">
      <c r="F534" s="288">
        <v>44970</v>
      </c>
      <c r="G534" s="286" t="s">
        <v>433</v>
      </c>
      <c r="H534" s="194">
        <f>H535-H533</f>
        <v>221824.82999999821</v>
      </c>
      <c r="K534" s="194"/>
      <c r="L534" s="275"/>
      <c r="M534" s="275"/>
      <c r="N534" s="275"/>
    </row>
    <row r="535" spans="6:14" hidden="1" x14ac:dyDescent="0.25">
      <c r="G535" s="286"/>
      <c r="H535" s="186">
        <v>73613632.940000013</v>
      </c>
      <c r="K535" s="194"/>
      <c r="L535" s="275"/>
      <c r="M535" s="275"/>
      <c r="N535" s="275"/>
    </row>
    <row r="536" spans="6:14" hidden="1" x14ac:dyDescent="0.25">
      <c r="F536" s="288">
        <v>44974</v>
      </c>
      <c r="G536" s="286" t="s">
        <v>434</v>
      </c>
      <c r="H536" s="194">
        <f>H537-H535</f>
        <v>158213.20000000298</v>
      </c>
      <c r="K536" s="194"/>
      <c r="L536" s="275"/>
      <c r="M536" s="275"/>
      <c r="N536" s="275"/>
    </row>
    <row r="537" spans="6:14" hidden="1" x14ac:dyDescent="0.25">
      <c r="G537" s="286"/>
      <c r="H537" s="186">
        <v>73771846.140000015</v>
      </c>
      <c r="K537" s="194"/>
      <c r="L537" s="275"/>
      <c r="M537" s="275"/>
      <c r="N537" s="275"/>
    </row>
    <row r="538" spans="6:14" hidden="1" x14ac:dyDescent="0.25">
      <c r="F538" s="288">
        <v>44981</v>
      </c>
      <c r="G538" s="286" t="s">
        <v>435</v>
      </c>
      <c r="H538" s="194">
        <f>H539-H537</f>
        <v>123059.37999999523</v>
      </c>
      <c r="K538" s="194"/>
      <c r="L538" s="275"/>
      <c r="M538" s="275"/>
      <c r="N538" s="275"/>
    </row>
    <row r="539" spans="6:14" hidden="1" x14ac:dyDescent="0.25">
      <c r="G539" s="286"/>
      <c r="H539" s="186">
        <v>73894905.520000011</v>
      </c>
      <c r="K539" s="194"/>
      <c r="L539" s="275"/>
      <c r="M539" s="275"/>
      <c r="N539" s="275"/>
    </row>
    <row r="540" spans="6:14" hidden="1" x14ac:dyDescent="0.25">
      <c r="F540" s="288">
        <v>44985</v>
      </c>
      <c r="G540" s="286" t="s">
        <v>436</v>
      </c>
      <c r="H540" s="194">
        <f>H541-H539</f>
        <v>1372104.7599999905</v>
      </c>
      <c r="K540" s="194"/>
      <c r="L540" s="275"/>
      <c r="M540" s="275"/>
      <c r="N540" s="275"/>
    </row>
    <row r="541" spans="6:14" hidden="1" x14ac:dyDescent="0.25">
      <c r="G541" s="286"/>
      <c r="H541" s="186">
        <v>75267010.280000001</v>
      </c>
      <c r="K541" s="194"/>
      <c r="L541" s="275"/>
      <c r="M541" s="275"/>
      <c r="N541" s="275"/>
    </row>
    <row r="542" spans="6:14" hidden="1" x14ac:dyDescent="0.25">
      <c r="F542" s="288">
        <v>44985</v>
      </c>
      <c r="G542" s="275" t="s">
        <v>437</v>
      </c>
      <c r="H542" s="194">
        <f>H543-H541</f>
        <v>-6100</v>
      </c>
      <c r="K542" s="194"/>
      <c r="L542" s="275"/>
      <c r="M542" s="275"/>
      <c r="N542" s="275"/>
    </row>
    <row r="543" spans="6:14" hidden="1" x14ac:dyDescent="0.25">
      <c r="G543" s="291"/>
      <c r="H543" s="190">
        <v>75260910.280000001</v>
      </c>
    </row>
    <row r="544" spans="6:14" hidden="1" x14ac:dyDescent="0.25">
      <c r="F544" s="288">
        <v>44991</v>
      </c>
      <c r="G544" s="286" t="s">
        <v>438</v>
      </c>
      <c r="H544" s="194">
        <f>H545-H543</f>
        <v>156097.46000000834</v>
      </c>
    </row>
    <row r="545" spans="6:14" hidden="1" x14ac:dyDescent="0.25">
      <c r="G545" s="291"/>
      <c r="H545" s="190">
        <v>75417007.74000001</v>
      </c>
    </row>
    <row r="546" spans="6:14" hidden="1" x14ac:dyDescent="0.25">
      <c r="F546" s="288">
        <v>44992</v>
      </c>
      <c r="G546" s="291" t="s">
        <v>439</v>
      </c>
      <c r="H546" s="194">
        <f>H547-H545</f>
        <v>-1012.0300000011921</v>
      </c>
    </row>
    <row r="547" spans="6:14" hidden="1" x14ac:dyDescent="0.25">
      <c r="G547" s="291"/>
      <c r="H547" s="190">
        <v>75415995.710000008</v>
      </c>
    </row>
    <row r="548" spans="6:14" hidden="1" x14ac:dyDescent="0.25">
      <c r="F548" s="288">
        <v>44992</v>
      </c>
      <c r="G548" s="286" t="s">
        <v>440</v>
      </c>
      <c r="H548" s="194">
        <f>H549-H547</f>
        <v>1012.0300000011921</v>
      </c>
    </row>
    <row r="549" spans="6:14" hidden="1" x14ac:dyDescent="0.25">
      <c r="F549" s="288"/>
      <c r="G549" s="286"/>
      <c r="H549" s="190">
        <v>75417007.74000001</v>
      </c>
    </row>
    <row r="550" spans="6:14" hidden="1" x14ac:dyDescent="0.25">
      <c r="F550" s="288">
        <v>44998</v>
      </c>
      <c r="G550" s="286" t="s">
        <v>441</v>
      </c>
      <c r="H550" s="194">
        <f>H551-H549</f>
        <v>485387.75</v>
      </c>
    </row>
    <row r="551" spans="6:14" hidden="1" x14ac:dyDescent="0.25">
      <c r="F551" s="288"/>
      <c r="G551" s="286"/>
      <c r="H551" s="190">
        <v>75902395.49000001</v>
      </c>
    </row>
    <row r="552" spans="6:14" hidden="1" x14ac:dyDescent="0.25">
      <c r="F552" s="288">
        <v>45002</v>
      </c>
      <c r="G552" s="286" t="s">
        <v>442</v>
      </c>
      <c r="H552" s="194">
        <f>H553-H551</f>
        <v>32475.95000000298</v>
      </c>
    </row>
    <row r="553" spans="6:14" hidden="1" x14ac:dyDescent="0.25">
      <c r="F553" s="288"/>
      <c r="G553" s="286"/>
      <c r="H553" s="190">
        <v>75934871.440000013</v>
      </c>
    </row>
    <row r="554" spans="6:14" hidden="1" x14ac:dyDescent="0.25">
      <c r="F554" s="288">
        <v>45012</v>
      </c>
      <c r="G554" s="286" t="s">
        <v>443</v>
      </c>
      <c r="H554" s="194">
        <f>H555-H553</f>
        <v>1046761.7499999851</v>
      </c>
    </row>
    <row r="555" spans="6:14" hidden="1" x14ac:dyDescent="0.25">
      <c r="F555" s="288"/>
      <c r="G555" s="286"/>
      <c r="H555" s="190">
        <v>76981633.189999998</v>
      </c>
    </row>
    <row r="556" spans="6:14" hidden="1" x14ac:dyDescent="0.25">
      <c r="F556" s="288">
        <v>45036</v>
      </c>
      <c r="G556" s="286" t="s">
        <v>444</v>
      </c>
      <c r="H556" s="194">
        <f>H557-H555</f>
        <v>104233.43000000715</v>
      </c>
    </row>
    <row r="557" spans="6:14" hidden="1" x14ac:dyDescent="0.25">
      <c r="G557" s="291"/>
      <c r="H557" s="190">
        <v>77085866.620000005</v>
      </c>
    </row>
    <row r="558" spans="6:14" hidden="1" x14ac:dyDescent="0.25">
      <c r="F558" s="288">
        <v>45064</v>
      </c>
      <c r="G558" s="286" t="s">
        <v>445</v>
      </c>
      <c r="H558" s="194">
        <f>H559-H557</f>
        <v>1287764.2600000054</v>
      </c>
      <c r="K558" s="194"/>
      <c r="L558" s="275"/>
      <c r="M558" s="275"/>
      <c r="N558" s="275"/>
    </row>
    <row r="559" spans="6:14" hidden="1" x14ac:dyDescent="0.25">
      <c r="G559" s="184"/>
      <c r="H559" s="189">
        <v>78373630.88000001</v>
      </c>
      <c r="I559" s="191"/>
      <c r="J559" s="191"/>
      <c r="K559" s="191"/>
    </row>
    <row r="560" spans="6:14" hidden="1" x14ac:dyDescent="0.25">
      <c r="F560" s="288">
        <v>45071</v>
      </c>
      <c r="G560" s="286" t="s">
        <v>446</v>
      </c>
      <c r="H560" s="194">
        <f>H561-H559</f>
        <v>51221.820000007749</v>
      </c>
      <c r="I560" s="191"/>
      <c r="J560" s="191"/>
      <c r="K560" s="194"/>
      <c r="L560" s="275"/>
      <c r="M560" s="275"/>
      <c r="N560" s="275"/>
    </row>
    <row r="561" spans="6:14" hidden="1" x14ac:dyDescent="0.25">
      <c r="H561" s="292">
        <v>78424852.700000018</v>
      </c>
      <c r="I561" s="191"/>
      <c r="J561" s="191"/>
      <c r="K561" s="191"/>
    </row>
    <row r="562" spans="6:14" hidden="1" x14ac:dyDescent="0.25">
      <c r="F562" s="288">
        <v>45083</v>
      </c>
      <c r="G562" s="286" t="s">
        <v>447</v>
      </c>
      <c r="H562" s="194">
        <f>H563-H561</f>
        <v>3261405.4099999964</v>
      </c>
      <c r="K562" s="194"/>
      <c r="L562" s="275"/>
      <c r="M562" s="275"/>
      <c r="N562" s="275"/>
    </row>
    <row r="563" spans="6:14" hidden="1" x14ac:dyDescent="0.25">
      <c r="G563" s="293"/>
      <c r="H563" s="194">
        <v>81686258.110000014</v>
      </c>
    </row>
    <row r="564" spans="6:14" hidden="1" x14ac:dyDescent="0.25">
      <c r="F564" s="288">
        <v>45089</v>
      </c>
      <c r="G564" s="286" t="s">
        <v>448</v>
      </c>
      <c r="H564" s="194">
        <f>H565-H563</f>
        <v>2023124.599999994</v>
      </c>
    </row>
    <row r="565" spans="6:14" hidden="1" x14ac:dyDescent="0.25">
      <c r="G565" s="293"/>
      <c r="H565" s="194">
        <v>83709382.710000008</v>
      </c>
    </row>
    <row r="566" spans="6:14" hidden="1" x14ac:dyDescent="0.25">
      <c r="F566" s="288">
        <v>45099</v>
      </c>
      <c r="G566" s="286" t="s">
        <v>449</v>
      </c>
      <c r="H566" s="194">
        <f>H567-H565</f>
        <v>1487245.1300000101</v>
      </c>
    </row>
    <row r="567" spans="6:14" hidden="1" x14ac:dyDescent="0.25">
      <c r="G567" s="293"/>
      <c r="H567" s="194">
        <v>85196627.840000018</v>
      </c>
    </row>
    <row r="568" spans="6:14" hidden="1" x14ac:dyDescent="0.25">
      <c r="F568" s="288">
        <v>45114</v>
      </c>
      <c r="G568" s="286" t="s">
        <v>450</v>
      </c>
      <c r="H568" s="194">
        <f>H569-H567</f>
        <v>1327161.0199999958</v>
      </c>
    </row>
    <row r="569" spans="6:14" hidden="1" x14ac:dyDescent="0.25">
      <c r="G569" s="293"/>
      <c r="H569" s="194">
        <v>86523788.860000014</v>
      </c>
    </row>
    <row r="570" spans="6:14" hidden="1" x14ac:dyDescent="0.25">
      <c r="F570" s="288">
        <v>45125</v>
      </c>
      <c r="G570" s="293" t="s">
        <v>451</v>
      </c>
      <c r="H570" s="194">
        <f>H571-H569</f>
        <v>950516.68000000715</v>
      </c>
    </row>
    <row r="571" spans="6:14" hidden="1" x14ac:dyDescent="0.25">
      <c r="G571" s="294"/>
      <c r="H571" s="185">
        <v>87474305.540000021</v>
      </c>
      <c r="K571" s="194"/>
      <c r="L571" s="275"/>
      <c r="M571" s="275"/>
      <c r="N571" s="275"/>
    </row>
    <row r="572" spans="6:14" hidden="1" x14ac:dyDescent="0.25">
      <c r="F572" s="288">
        <v>45127</v>
      </c>
      <c r="G572" s="293" t="s">
        <v>452</v>
      </c>
      <c r="H572" s="194">
        <f>H573-H571</f>
        <v>25155.279999986291</v>
      </c>
      <c r="J572" s="295"/>
      <c r="K572" s="194"/>
      <c r="L572" s="275"/>
      <c r="M572" s="275"/>
      <c r="N572" s="275"/>
    </row>
    <row r="573" spans="6:14" hidden="1" x14ac:dyDescent="0.25">
      <c r="G573" s="294"/>
      <c r="H573" s="296">
        <v>87499460.820000008</v>
      </c>
      <c r="J573" s="296"/>
      <c r="K573" s="194"/>
      <c r="L573" s="275"/>
      <c r="M573" s="275"/>
      <c r="N573" s="275"/>
    </row>
    <row r="574" spans="6:14" hidden="1" x14ac:dyDescent="0.25">
      <c r="F574" s="288">
        <v>45142</v>
      </c>
      <c r="G574" s="293" t="s">
        <v>493</v>
      </c>
      <c r="H574" s="194">
        <f>H575-H573</f>
        <v>2177558.8700000048</v>
      </c>
      <c r="J574" s="297"/>
      <c r="K574" s="194"/>
      <c r="L574" s="275"/>
      <c r="M574" s="275"/>
      <c r="N574" s="275"/>
    </row>
    <row r="575" spans="6:14" hidden="1" x14ac:dyDescent="0.25">
      <c r="G575" s="294"/>
      <c r="H575" s="194">
        <v>89677019.690000013</v>
      </c>
      <c r="K575" s="194"/>
      <c r="L575" s="275"/>
      <c r="M575" s="275"/>
      <c r="N575" s="275"/>
    </row>
    <row r="576" spans="6:14" hidden="1" x14ac:dyDescent="0.25">
      <c r="F576" s="288">
        <v>45149</v>
      </c>
      <c r="G576" s="335" t="s">
        <v>494</v>
      </c>
      <c r="H576" s="194">
        <f>H577-H575</f>
        <v>-32989.34999999404</v>
      </c>
      <c r="J576" s="186" t="s">
        <v>524</v>
      </c>
      <c r="K576" s="194"/>
      <c r="L576" s="275"/>
      <c r="M576" s="275"/>
      <c r="N576" s="275"/>
    </row>
    <row r="577" spans="6:14" hidden="1" x14ac:dyDescent="0.25">
      <c r="G577" s="294"/>
      <c r="H577" s="185">
        <v>89644030.340000018</v>
      </c>
      <c r="K577" s="194"/>
      <c r="L577" s="275"/>
      <c r="M577" s="275"/>
      <c r="N577" s="275"/>
    </row>
    <row r="578" spans="6:14" hidden="1" x14ac:dyDescent="0.25">
      <c r="F578" s="288">
        <v>45152</v>
      </c>
      <c r="G578" s="293" t="s">
        <v>496</v>
      </c>
      <c r="H578" s="194">
        <f>H579-H577</f>
        <v>32989.34999999404</v>
      </c>
      <c r="J578" s="185" t="s">
        <v>525</v>
      </c>
    </row>
    <row r="579" spans="6:14" hidden="1" x14ac:dyDescent="0.25">
      <c r="H579" s="186">
        <v>89677019.690000013</v>
      </c>
      <c r="K579" s="194"/>
      <c r="L579" s="275"/>
      <c r="M579" s="275"/>
      <c r="N579" s="275"/>
    </row>
    <row r="580" spans="6:14" hidden="1" x14ac:dyDescent="0.25">
      <c r="F580" s="288">
        <v>45152</v>
      </c>
      <c r="G580" s="293" t="s">
        <v>498</v>
      </c>
      <c r="H580" s="194">
        <f>H581-H579</f>
        <v>806749.12000000477</v>
      </c>
    </row>
    <row r="581" spans="6:14" hidden="1" x14ac:dyDescent="0.25">
      <c r="H581" s="186">
        <v>90483768.810000017</v>
      </c>
      <c r="K581" s="194"/>
      <c r="L581" s="287"/>
      <c r="M581" s="287"/>
      <c r="N581" s="287"/>
    </row>
    <row r="582" spans="6:14" hidden="1" x14ac:dyDescent="0.25">
      <c r="F582" s="288">
        <v>45159</v>
      </c>
      <c r="G582" s="293" t="s">
        <v>526</v>
      </c>
      <c r="H582" s="186">
        <f>H583-H581</f>
        <v>1156164.3799999952</v>
      </c>
    </row>
    <row r="583" spans="6:14" hidden="1" x14ac:dyDescent="0.25">
      <c r="H583" s="186">
        <v>91639933.190000013</v>
      </c>
      <c r="K583" s="194"/>
      <c r="L583" s="275"/>
      <c r="M583" s="275"/>
      <c r="N583" s="275"/>
    </row>
    <row r="584" spans="6:14" hidden="1" x14ac:dyDescent="0.25">
      <c r="F584" s="288">
        <v>45163</v>
      </c>
      <c r="G584" s="293" t="s">
        <v>527</v>
      </c>
      <c r="H584" s="186">
        <f>H585-H583</f>
        <v>148935.10000000894</v>
      </c>
      <c r="K584" s="194"/>
      <c r="L584" s="275"/>
      <c r="M584" s="275"/>
      <c r="N584" s="275"/>
    </row>
    <row r="585" spans="6:14" hidden="1" x14ac:dyDescent="0.25">
      <c r="H585" s="186">
        <v>91788868.290000021</v>
      </c>
      <c r="K585" s="194"/>
      <c r="L585" s="275"/>
      <c r="M585" s="275"/>
      <c r="N585" s="275"/>
    </row>
    <row r="586" spans="6:14" hidden="1" x14ac:dyDescent="0.25">
      <c r="F586" s="288">
        <v>45168</v>
      </c>
      <c r="G586" s="293" t="s">
        <v>528</v>
      </c>
      <c r="H586" s="186">
        <f>H587-H585</f>
        <v>84368</v>
      </c>
      <c r="K586" s="194"/>
      <c r="L586" s="275"/>
      <c r="M586" s="275"/>
      <c r="N586" s="275"/>
    </row>
    <row r="587" spans="6:14" hidden="1" x14ac:dyDescent="0.25">
      <c r="H587" s="186">
        <v>91873236.290000021</v>
      </c>
      <c r="K587" s="194"/>
      <c r="L587" s="275"/>
      <c r="M587" s="275"/>
      <c r="N587" s="275"/>
    </row>
    <row r="588" spans="6:14" hidden="1" x14ac:dyDescent="0.25">
      <c r="F588" s="288">
        <v>45169</v>
      </c>
      <c r="G588" s="293" t="s">
        <v>529</v>
      </c>
      <c r="H588" s="186">
        <f>H589-H587</f>
        <v>953872.83999998868</v>
      </c>
      <c r="K588" s="194"/>
      <c r="L588" s="275"/>
      <c r="M588" s="275"/>
      <c r="N588" s="275"/>
    </row>
    <row r="589" spans="6:14" hidden="1" x14ac:dyDescent="0.25">
      <c r="H589" s="186">
        <v>92827109.13000001</v>
      </c>
      <c r="K589" s="194"/>
      <c r="L589" s="275"/>
      <c r="M589" s="275"/>
      <c r="N589" s="275"/>
    </row>
    <row r="590" spans="6:14" hidden="1" x14ac:dyDescent="0.25">
      <c r="F590" s="288">
        <v>45176</v>
      </c>
      <c r="G590" s="293" t="s">
        <v>530</v>
      </c>
      <c r="H590" s="186">
        <f>H591-H589</f>
        <v>962969.28000000119</v>
      </c>
      <c r="K590" s="194"/>
      <c r="L590" s="275"/>
      <c r="M590" s="275"/>
      <c r="N590" s="275"/>
    </row>
    <row r="591" spans="6:14" hidden="1" x14ac:dyDescent="0.25">
      <c r="H591" s="186">
        <v>93790078.410000011</v>
      </c>
      <c r="K591" s="194"/>
      <c r="L591" s="275"/>
      <c r="M591" s="275"/>
      <c r="N591" s="275"/>
    </row>
    <row r="592" spans="6:14" hidden="1" x14ac:dyDescent="0.25">
      <c r="F592" s="288">
        <v>45184</v>
      </c>
      <c r="G592" s="293" t="s">
        <v>531</v>
      </c>
      <c r="H592" s="186">
        <f>H593-H591</f>
        <v>488689.38000001013</v>
      </c>
      <c r="K592" s="194"/>
      <c r="L592" s="275"/>
      <c r="M592" s="275"/>
      <c r="N592" s="275"/>
    </row>
    <row r="593" spans="2:14" hidden="1" x14ac:dyDescent="0.25">
      <c r="H593" s="225">
        <v>94278767.790000021</v>
      </c>
      <c r="K593" s="194"/>
      <c r="L593" s="275"/>
      <c r="M593" s="275"/>
      <c r="N593" s="275"/>
    </row>
    <row r="594" spans="2:14" hidden="1" x14ac:dyDescent="0.25">
      <c r="F594" s="288">
        <v>45191</v>
      </c>
      <c r="G594" s="293" t="s">
        <v>532</v>
      </c>
      <c r="H594" s="186">
        <f>H595-H593</f>
        <v>1435749.6499999911</v>
      </c>
      <c r="K594" s="194"/>
      <c r="L594" s="275"/>
      <c r="M594" s="275"/>
      <c r="N594" s="275"/>
    </row>
    <row r="595" spans="2:14" hidden="1" x14ac:dyDescent="0.25">
      <c r="H595" s="186">
        <v>95714517.440000013</v>
      </c>
      <c r="K595" s="194"/>
      <c r="L595" s="275"/>
      <c r="M595" s="275"/>
      <c r="N595" s="275"/>
    </row>
    <row r="596" spans="2:14" hidden="1" x14ac:dyDescent="0.25">
      <c r="F596" s="288">
        <v>45195</v>
      </c>
      <c r="G596" s="276" t="s">
        <v>419</v>
      </c>
      <c r="H596" s="186">
        <f>H597-H595</f>
        <v>-67293.250000014901</v>
      </c>
      <c r="J596" s="185" t="s">
        <v>533</v>
      </c>
      <c r="K596" s="194"/>
      <c r="L596" s="275"/>
      <c r="M596" s="275"/>
      <c r="N596" s="275"/>
    </row>
    <row r="597" spans="2:14" hidden="1" x14ac:dyDescent="0.25">
      <c r="H597" s="186">
        <v>95647224.189999998</v>
      </c>
      <c r="K597" s="194"/>
      <c r="L597" s="275"/>
      <c r="M597" s="275"/>
      <c r="N597" s="275"/>
    </row>
    <row r="598" spans="2:14" hidden="1" x14ac:dyDescent="0.25">
      <c r="F598" s="288">
        <v>45198</v>
      </c>
      <c r="G598" s="293" t="s">
        <v>534</v>
      </c>
      <c r="H598" s="186">
        <f>H599-H597</f>
        <v>577097.71000000834</v>
      </c>
      <c r="K598" s="194"/>
      <c r="L598" s="275"/>
      <c r="M598" s="275"/>
      <c r="N598" s="275"/>
    </row>
    <row r="599" spans="2:14" hidden="1" x14ac:dyDescent="0.25">
      <c r="F599" s="299"/>
      <c r="G599" s="276"/>
      <c r="H599" s="351">
        <v>96224321.900000006</v>
      </c>
    </row>
    <row r="600" spans="2:14" hidden="1" x14ac:dyDescent="0.25">
      <c r="B600" s="300" t="s">
        <v>457</v>
      </c>
      <c r="C600" s="301"/>
      <c r="F600" s="299"/>
      <c r="G600" s="276"/>
      <c r="K600" s="194"/>
      <c r="L600" s="275"/>
      <c r="M600" s="275"/>
      <c r="N600" s="275"/>
    </row>
    <row r="601" spans="2:14" hidden="1" x14ac:dyDescent="0.25">
      <c r="B601" s="302" t="s">
        <v>458</v>
      </c>
      <c r="C601" s="303">
        <f>L440</f>
        <v>138375505.02699998</v>
      </c>
      <c r="F601" s="299"/>
      <c r="G601" s="276"/>
    </row>
    <row r="602" spans="2:14" hidden="1" x14ac:dyDescent="0.25">
      <c r="B602" s="302" t="s">
        <v>459</v>
      </c>
      <c r="C602" s="304">
        <v>222960077.53999999</v>
      </c>
      <c r="G602" s="276"/>
      <c r="K602" s="194"/>
      <c r="L602" s="275"/>
      <c r="M602" s="275"/>
      <c r="N602" s="275"/>
    </row>
    <row r="603" spans="2:14" hidden="1" x14ac:dyDescent="0.25">
      <c r="B603" s="302" t="s">
        <v>460</v>
      </c>
      <c r="C603" s="305">
        <f>H558+H560</f>
        <v>1338986.0800000131</v>
      </c>
      <c r="G603" s="276"/>
    </row>
    <row r="604" spans="2:14" hidden="1" x14ac:dyDescent="0.25">
      <c r="B604" s="302" t="s">
        <v>461</v>
      </c>
      <c r="C604" s="185">
        <f>C602-C603-C601</f>
        <v>83245586.432999998</v>
      </c>
      <c r="G604" s="276"/>
      <c r="K604" s="194"/>
      <c r="L604" s="275"/>
      <c r="M604" s="275"/>
      <c r="N604" s="275"/>
    </row>
    <row r="605" spans="2:14" hidden="1" x14ac:dyDescent="0.25">
      <c r="B605" s="306"/>
      <c r="C605" s="307"/>
      <c r="G605" s="276"/>
      <c r="K605" s="225"/>
    </row>
    <row r="606" spans="2:14" hidden="1" x14ac:dyDescent="0.25">
      <c r="B606" s="306"/>
      <c r="C606" s="305"/>
      <c r="G606" s="276"/>
      <c r="K606" s="194"/>
      <c r="L606" s="275"/>
      <c r="M606" s="275"/>
      <c r="N606" s="275"/>
    </row>
    <row r="607" spans="2:14" hidden="1" x14ac:dyDescent="0.25">
      <c r="B607" s="306"/>
      <c r="C607" s="305"/>
      <c r="L607" s="287"/>
      <c r="M607" s="287"/>
      <c r="N607" s="287"/>
    </row>
    <row r="608" spans="2:14" hidden="1" x14ac:dyDescent="0.25">
      <c r="B608" s="306" t="s">
        <v>462</v>
      </c>
      <c r="C608" s="305">
        <f>78424852.7-324504.25</f>
        <v>78100348.450000003</v>
      </c>
      <c r="K608" s="194"/>
      <c r="L608" s="275"/>
      <c r="M608" s="275"/>
      <c r="N608" s="275"/>
    </row>
    <row r="609" spans="2:15" hidden="1" x14ac:dyDescent="0.25">
      <c r="B609" s="306" t="s">
        <v>463</v>
      </c>
      <c r="C609" s="305">
        <f>34060851.92+42700510.45</f>
        <v>76761362.370000005</v>
      </c>
      <c r="L609" s="287"/>
      <c r="M609" s="287"/>
      <c r="N609" s="287"/>
    </row>
    <row r="610" spans="2:15" hidden="1" x14ac:dyDescent="0.25">
      <c r="B610" s="306" t="s">
        <v>464</v>
      </c>
      <c r="C610" s="305">
        <f>C608-C609</f>
        <v>1338986.0799999982</v>
      </c>
      <c r="K610" s="194"/>
      <c r="L610" s="275"/>
      <c r="M610" s="275"/>
      <c r="N610" s="275"/>
    </row>
    <row r="611" spans="2:15" ht="13.8" hidden="1" thickBot="1" x14ac:dyDescent="0.3">
      <c r="B611" s="308" t="s">
        <v>465</v>
      </c>
      <c r="C611" s="309">
        <f>C610-C603</f>
        <v>-1.4901161193847656E-8</v>
      </c>
      <c r="L611" s="287"/>
      <c r="M611" s="287"/>
      <c r="N611" s="287"/>
    </row>
    <row r="612" spans="2:15" hidden="1" x14ac:dyDescent="0.25">
      <c r="C612" s="281"/>
      <c r="F612" s="288">
        <v>45204</v>
      </c>
      <c r="G612" s="293" t="s">
        <v>535</v>
      </c>
      <c r="H612" s="186">
        <f>H613-H599</f>
        <v>1120261.4399999976</v>
      </c>
      <c r="L612" s="287"/>
      <c r="M612" s="287"/>
      <c r="N612" s="287"/>
    </row>
    <row r="613" spans="2:15" hidden="1" x14ac:dyDescent="0.25">
      <c r="C613" s="281"/>
      <c r="H613" s="351">
        <v>97344583.340000004</v>
      </c>
      <c r="J613" s="186" t="s">
        <v>536</v>
      </c>
      <c r="L613" s="287"/>
      <c r="M613" s="287"/>
      <c r="N613" s="287"/>
    </row>
    <row r="614" spans="2:15" hidden="1" x14ac:dyDescent="0.25">
      <c r="C614" s="281"/>
      <c r="F614" s="288">
        <v>45211</v>
      </c>
      <c r="G614" s="286" t="s">
        <v>537</v>
      </c>
      <c r="H614" s="186">
        <f>H615-H613</f>
        <v>467351.49000000954</v>
      </c>
      <c r="L614" s="287"/>
      <c r="M614" s="287"/>
      <c r="N614" s="287"/>
    </row>
    <row r="615" spans="2:15" hidden="1" x14ac:dyDescent="0.25">
      <c r="C615" s="281"/>
      <c r="H615" s="351">
        <v>97811934.830000013</v>
      </c>
      <c r="L615" s="287"/>
      <c r="M615" s="287"/>
      <c r="N615" s="287"/>
    </row>
    <row r="616" spans="2:15" hidden="1" x14ac:dyDescent="0.25">
      <c r="C616" s="281"/>
      <c r="F616" s="288">
        <v>45217</v>
      </c>
      <c r="G616" s="286" t="s">
        <v>538</v>
      </c>
      <c r="H616" s="186">
        <f>H617-H615</f>
        <v>372531.25999999046</v>
      </c>
      <c r="L616" s="287"/>
      <c r="M616" s="287"/>
      <c r="N616" s="287"/>
    </row>
    <row r="617" spans="2:15" hidden="1" x14ac:dyDescent="0.25">
      <c r="C617" s="281"/>
      <c r="H617" s="351">
        <v>98184466.090000004</v>
      </c>
      <c r="L617" s="287"/>
      <c r="M617" s="287"/>
      <c r="N617" s="287"/>
    </row>
    <row r="618" spans="2:15" hidden="1" x14ac:dyDescent="0.25">
      <c r="C618" s="281"/>
      <c r="F618" s="288">
        <v>45225</v>
      </c>
      <c r="G618" s="286" t="s">
        <v>539</v>
      </c>
      <c r="H618" s="186">
        <f>H619-H617</f>
        <v>2160978.9399999976</v>
      </c>
      <c r="L618" s="287"/>
      <c r="M618" s="287"/>
      <c r="N618" s="287"/>
    </row>
    <row r="619" spans="2:15" hidden="1" x14ac:dyDescent="0.25">
      <c r="C619" s="281"/>
      <c r="H619" s="351">
        <v>100345445.03</v>
      </c>
      <c r="L619" s="287"/>
      <c r="M619" s="287"/>
      <c r="N619" s="287"/>
    </row>
    <row r="620" spans="2:15" hidden="1" x14ac:dyDescent="0.25">
      <c r="C620" s="281"/>
      <c r="F620" s="288">
        <v>45232</v>
      </c>
      <c r="G620" s="286" t="s">
        <v>540</v>
      </c>
      <c r="H620" s="186">
        <f>H621-H619</f>
        <v>159766.51000002027</v>
      </c>
      <c r="L620" s="287"/>
      <c r="M620" s="287"/>
      <c r="N620" s="287"/>
    </row>
    <row r="621" spans="2:15" hidden="1" x14ac:dyDescent="0.25">
      <c r="C621" s="281"/>
      <c r="H621" s="351">
        <v>100505211.54000002</v>
      </c>
      <c r="L621" s="287"/>
      <c r="M621" s="287"/>
      <c r="N621" s="287"/>
    </row>
    <row r="622" spans="2:15" hidden="1" x14ac:dyDescent="0.25">
      <c r="C622" s="281"/>
      <c r="F622" s="288">
        <v>45238</v>
      </c>
      <c r="G622" s="286" t="s">
        <v>541</v>
      </c>
      <c r="H622" s="351">
        <f>H623-H621</f>
        <v>1492704.0599999875</v>
      </c>
      <c r="L622" s="287"/>
      <c r="M622" s="287"/>
      <c r="N622" s="287"/>
    </row>
    <row r="623" spans="2:15" hidden="1" x14ac:dyDescent="0.25">
      <c r="C623" s="281"/>
      <c r="H623" s="225">
        <v>101997915.60000001</v>
      </c>
      <c r="N623" s="225"/>
      <c r="O623" s="185"/>
    </row>
    <row r="624" spans="2:15" hidden="1" x14ac:dyDescent="0.25">
      <c r="C624" s="281"/>
      <c r="F624" s="288">
        <v>45245</v>
      </c>
      <c r="G624" s="286" t="s">
        <v>542</v>
      </c>
      <c r="H624" s="186">
        <f>H625-H623</f>
        <v>826615.79999999702</v>
      </c>
      <c r="L624" s="288"/>
      <c r="M624" s="286"/>
      <c r="N624" s="190"/>
      <c r="O624" s="185"/>
    </row>
    <row r="625" spans="3:15" hidden="1" x14ac:dyDescent="0.25">
      <c r="C625" s="281"/>
      <c r="H625" s="186">
        <v>102824531.40000001</v>
      </c>
      <c r="N625" s="190"/>
      <c r="O625" s="185"/>
    </row>
    <row r="626" spans="3:15" hidden="1" x14ac:dyDescent="0.25">
      <c r="C626" s="281"/>
      <c r="F626" s="288">
        <v>45244</v>
      </c>
      <c r="G626" s="276" t="s">
        <v>543</v>
      </c>
      <c r="H626" s="186">
        <f>H627-H625</f>
        <v>-293864.98999999464</v>
      </c>
      <c r="J626" s="185" t="s">
        <v>544</v>
      </c>
      <c r="L626" s="288"/>
      <c r="M626" s="276"/>
      <c r="N626" s="190"/>
      <c r="O626" s="185"/>
    </row>
    <row r="627" spans="3:15" hidden="1" x14ac:dyDescent="0.25">
      <c r="H627" s="186">
        <v>102530666.41000001</v>
      </c>
      <c r="K627" s="194"/>
      <c r="N627" s="190"/>
      <c r="O627" s="185"/>
    </row>
    <row r="628" spans="3:15" hidden="1" x14ac:dyDescent="0.25">
      <c r="F628" s="288">
        <v>45244</v>
      </c>
      <c r="G628" s="276" t="s">
        <v>543</v>
      </c>
      <c r="H628" s="186">
        <f>H629-H627</f>
        <v>-855</v>
      </c>
      <c r="J628" s="186" t="s">
        <v>545</v>
      </c>
      <c r="K628" s="194"/>
      <c r="L628" s="288"/>
      <c r="M628" s="276"/>
      <c r="N628" s="190"/>
      <c r="O628" s="185"/>
    </row>
    <row r="629" spans="3:15" hidden="1" x14ac:dyDescent="0.25">
      <c r="H629" s="186">
        <v>102529811.41000001</v>
      </c>
      <c r="K629" s="194"/>
      <c r="N629" s="190"/>
      <c r="O629" s="185"/>
    </row>
    <row r="630" spans="3:15" hidden="1" x14ac:dyDescent="0.25">
      <c r="F630" s="288">
        <v>45251</v>
      </c>
      <c r="G630" s="286" t="s">
        <v>546</v>
      </c>
      <c r="H630" s="186">
        <f>H631-H629</f>
        <v>1839664.6299999952</v>
      </c>
      <c r="L630" s="288"/>
      <c r="M630" s="286"/>
      <c r="N630" s="190"/>
      <c r="O630" s="185"/>
    </row>
    <row r="631" spans="3:15" hidden="1" x14ac:dyDescent="0.25">
      <c r="H631" s="186">
        <v>104369476.04000001</v>
      </c>
      <c r="N631" s="190"/>
      <c r="O631" s="185"/>
    </row>
    <row r="632" spans="3:15" hidden="1" x14ac:dyDescent="0.25">
      <c r="F632" s="288">
        <v>45259</v>
      </c>
      <c r="G632" s="286" t="s">
        <v>547</v>
      </c>
      <c r="H632" s="186">
        <f>H633-H631</f>
        <v>49081.579999998212</v>
      </c>
      <c r="L632" s="288"/>
      <c r="M632" s="286"/>
      <c r="N632" s="190"/>
      <c r="O632" s="185"/>
    </row>
    <row r="633" spans="3:15" x14ac:dyDescent="0.25">
      <c r="H633" s="186">
        <v>104418557.62</v>
      </c>
      <c r="N633" s="186"/>
      <c r="O633" s="185"/>
    </row>
    <row r="634" spans="3:15" x14ac:dyDescent="0.25">
      <c r="F634" s="288">
        <v>45259</v>
      </c>
      <c r="G634" s="196" t="s">
        <v>548</v>
      </c>
      <c r="H634" s="186">
        <f>H635-H633</f>
        <v>-36252.560000002384</v>
      </c>
      <c r="O634" s="288"/>
    </row>
    <row r="635" spans="3:15" x14ac:dyDescent="0.25">
      <c r="F635" s="288"/>
      <c r="H635" s="186">
        <v>104382305.06</v>
      </c>
    </row>
    <row r="636" spans="3:15" x14ac:dyDescent="0.25">
      <c r="F636" s="288">
        <v>45266</v>
      </c>
      <c r="G636" s="286" t="s">
        <v>549</v>
      </c>
      <c r="H636" s="186">
        <f>H637-H635</f>
        <v>675631.36000001431</v>
      </c>
      <c r="L636" s="288"/>
      <c r="N636" s="186"/>
      <c r="O636" s="185"/>
    </row>
    <row r="637" spans="3:15" x14ac:dyDescent="0.25">
      <c r="H637" s="186">
        <v>105057936.42000002</v>
      </c>
      <c r="L637" s="288"/>
      <c r="N637" s="186"/>
      <c r="O637" s="185"/>
    </row>
    <row r="638" spans="3:15" x14ac:dyDescent="0.25">
      <c r="F638" s="288">
        <v>45267</v>
      </c>
      <c r="G638" s="196" t="s">
        <v>548</v>
      </c>
      <c r="H638" s="186">
        <f>H639-H637</f>
        <v>-69833.360000014305</v>
      </c>
      <c r="L638" s="288"/>
      <c r="N638" s="186"/>
      <c r="O638" s="185"/>
    </row>
    <row r="639" spans="3:15" x14ac:dyDescent="0.25">
      <c r="H639" s="186">
        <v>104988103.06</v>
      </c>
      <c r="L639" s="288"/>
      <c r="N639" s="186"/>
      <c r="O639" s="185"/>
    </row>
    <row r="640" spans="3:15" x14ac:dyDescent="0.25">
      <c r="F640" s="288">
        <v>45267</v>
      </c>
      <c r="G640" s="286" t="s">
        <v>550</v>
      </c>
      <c r="H640" s="186">
        <f>H641-H639</f>
        <v>69833.360000014305</v>
      </c>
      <c r="L640" s="287"/>
      <c r="M640" s="287"/>
      <c r="N640" s="287"/>
    </row>
    <row r="641" spans="6:14" x14ac:dyDescent="0.25">
      <c r="H641" s="186">
        <v>105057936.42000002</v>
      </c>
      <c r="L641" s="287"/>
      <c r="M641" s="287"/>
      <c r="N641" s="287"/>
    </row>
    <row r="642" spans="6:14" x14ac:dyDescent="0.25">
      <c r="F642" s="288">
        <v>45273</v>
      </c>
      <c r="G642" s="286" t="s">
        <v>551</v>
      </c>
      <c r="H642" s="186">
        <f>H643-H641</f>
        <v>454944.54999999702</v>
      </c>
      <c r="L642" s="287"/>
      <c r="M642" s="287"/>
      <c r="N642" s="287"/>
    </row>
    <row r="643" spans="6:14" x14ac:dyDescent="0.25">
      <c r="H643" s="186">
        <v>105512880.97000001</v>
      </c>
      <c r="L643" s="287"/>
      <c r="M643" s="287"/>
      <c r="N643" s="287"/>
    </row>
    <row r="644" spans="6:14" x14ac:dyDescent="0.25">
      <c r="G644" s="276" t="s">
        <v>552</v>
      </c>
      <c r="H644" s="186">
        <f>H645-H643</f>
        <v>-820349.2500000149</v>
      </c>
      <c r="L644" s="287"/>
      <c r="M644" s="287"/>
      <c r="N644" s="287"/>
    </row>
    <row r="645" spans="6:14" x14ac:dyDescent="0.25">
      <c r="H645" s="186">
        <v>104692531.72</v>
      </c>
      <c r="L645" s="287"/>
      <c r="M645" s="287"/>
      <c r="N645" s="287"/>
    </row>
    <row r="646" spans="6:14" x14ac:dyDescent="0.25">
      <c r="F646" s="288">
        <v>45275</v>
      </c>
      <c r="G646" s="286" t="s">
        <v>553</v>
      </c>
      <c r="H646" s="186">
        <f>H647-H645</f>
        <v>3101904.5500000119</v>
      </c>
      <c r="L646" s="287"/>
      <c r="M646" s="287"/>
      <c r="N646" s="287"/>
    </row>
    <row r="647" spans="6:14" x14ac:dyDescent="0.25">
      <c r="H647" s="186">
        <v>107794436.27000001</v>
      </c>
      <c r="L647" s="287"/>
      <c r="M647" s="287"/>
      <c r="N647" s="287"/>
    </row>
    <row r="648" spans="6:14" x14ac:dyDescent="0.25">
      <c r="F648" s="288">
        <v>45295</v>
      </c>
      <c r="G648" s="286" t="s">
        <v>554</v>
      </c>
      <c r="H648" s="186">
        <f>H649-H647</f>
        <v>1000616.7700000107</v>
      </c>
      <c r="L648" s="287"/>
      <c r="M648" s="287"/>
      <c r="N648" s="287"/>
    </row>
    <row r="649" spans="6:14" x14ac:dyDescent="0.25">
      <c r="H649" s="186">
        <v>108795053.04000002</v>
      </c>
      <c r="L649" s="287"/>
      <c r="M649" s="287"/>
      <c r="N649" s="287"/>
    </row>
    <row r="650" spans="6:14" x14ac:dyDescent="0.25">
      <c r="F650" s="288">
        <v>45302</v>
      </c>
      <c r="G650" s="286" t="s">
        <v>555</v>
      </c>
      <c r="H650" s="186">
        <f>H651-H649</f>
        <v>203555.62999999523</v>
      </c>
      <c r="L650" s="287"/>
      <c r="M650" s="287"/>
      <c r="N650" s="287"/>
    </row>
    <row r="651" spans="6:14" x14ac:dyDescent="0.25">
      <c r="H651" s="186">
        <v>108998608.67000002</v>
      </c>
      <c r="L651" s="287"/>
      <c r="M651" s="287"/>
      <c r="N651" s="287"/>
    </row>
    <row r="652" spans="6:14" x14ac:dyDescent="0.25">
      <c r="F652" s="288">
        <v>45302</v>
      </c>
      <c r="G652" s="196" t="s">
        <v>548</v>
      </c>
      <c r="H652" s="186">
        <f>H653-H651</f>
        <v>-17286.469999998808</v>
      </c>
      <c r="L652" s="287"/>
      <c r="M652" s="287"/>
      <c r="N652" s="287"/>
    </row>
    <row r="653" spans="6:14" x14ac:dyDescent="0.25">
      <c r="H653" s="186">
        <v>108981322.20000002</v>
      </c>
      <c r="L653" s="287"/>
      <c r="M653" s="287"/>
      <c r="N653" s="287"/>
    </row>
    <row r="654" spans="6:14" x14ac:dyDescent="0.25">
      <c r="F654" s="288">
        <v>45303</v>
      </c>
      <c r="G654" s="286" t="s">
        <v>556</v>
      </c>
      <c r="H654" s="186">
        <f>H655-H653</f>
        <v>911887.82999998331</v>
      </c>
      <c r="L654" s="287"/>
      <c r="M654" s="287"/>
      <c r="N654" s="287"/>
    </row>
    <row r="655" spans="6:14" x14ac:dyDescent="0.25">
      <c r="H655" s="186">
        <v>109893210.03</v>
      </c>
      <c r="L655" s="287"/>
      <c r="M655" s="287"/>
      <c r="N655" s="287"/>
    </row>
    <row r="656" spans="6:14" x14ac:dyDescent="0.25">
      <c r="F656" s="288">
        <v>45309</v>
      </c>
      <c r="G656" s="286" t="s">
        <v>557</v>
      </c>
      <c r="H656" s="186">
        <f>H657-H655</f>
        <v>19211.810000002384</v>
      </c>
      <c r="L656" s="287"/>
      <c r="M656" s="287"/>
      <c r="N656" s="287"/>
    </row>
    <row r="657" spans="6:14" x14ac:dyDescent="0.25">
      <c r="H657" s="186">
        <v>109912421.84</v>
      </c>
      <c r="L657" s="287"/>
      <c r="M657" s="287"/>
      <c r="N657" s="287"/>
    </row>
    <row r="658" spans="6:14" x14ac:dyDescent="0.25">
      <c r="F658" s="288">
        <v>45316</v>
      </c>
      <c r="G658" s="286" t="s">
        <v>558</v>
      </c>
      <c r="H658" s="186">
        <f>H659-H657</f>
        <v>213093.65999999642</v>
      </c>
      <c r="L658" s="287"/>
      <c r="M658" s="287"/>
      <c r="N658" s="287"/>
    </row>
    <row r="659" spans="6:14" x14ac:dyDescent="0.25">
      <c r="H659" s="186">
        <v>110125515.5</v>
      </c>
      <c r="L659" s="287"/>
      <c r="M659" s="287"/>
      <c r="N659" s="287"/>
    </row>
    <row r="660" spans="6:14" x14ac:dyDescent="0.25">
      <c r="F660" s="288">
        <v>45321</v>
      </c>
      <c r="G660" s="286" t="s">
        <v>559</v>
      </c>
      <c r="H660" s="186">
        <f>H661-H659</f>
        <v>92727.530000001192</v>
      </c>
      <c r="L660" s="287"/>
      <c r="M660" s="287"/>
      <c r="N660" s="287"/>
    </row>
    <row r="661" spans="6:14" x14ac:dyDescent="0.25">
      <c r="H661" s="186">
        <v>110218243.03</v>
      </c>
      <c r="L661" s="287"/>
      <c r="M661" s="287"/>
      <c r="N661" s="287"/>
    </row>
    <row r="662" spans="6:14" x14ac:dyDescent="0.25">
      <c r="F662" s="288">
        <v>45324</v>
      </c>
      <c r="G662" s="286" t="s">
        <v>560</v>
      </c>
      <c r="H662" s="186">
        <f>H663-H661</f>
        <v>31445</v>
      </c>
      <c r="L662" s="287"/>
      <c r="M662" s="287"/>
      <c r="N662" s="287"/>
    </row>
    <row r="663" spans="6:14" x14ac:dyDescent="0.25">
      <c r="H663" s="186">
        <v>110249688.03</v>
      </c>
      <c r="L663" s="287"/>
      <c r="M663" s="287"/>
      <c r="N663" s="287"/>
    </row>
    <row r="664" spans="6:14" x14ac:dyDescent="0.25">
      <c r="F664" s="288">
        <v>45328</v>
      </c>
      <c r="G664" s="286" t="s">
        <v>561</v>
      </c>
      <c r="H664" s="186">
        <f>H665-H663</f>
        <v>851166.95000001788</v>
      </c>
      <c r="L664" s="287"/>
      <c r="M664" s="287"/>
      <c r="N664" s="287"/>
    </row>
    <row r="665" spans="6:14" x14ac:dyDescent="0.25">
      <c r="H665" s="186">
        <v>111100854.98000002</v>
      </c>
      <c r="L665" s="287"/>
      <c r="M665" s="287"/>
      <c r="N665" s="287"/>
    </row>
    <row r="666" spans="6:14" x14ac:dyDescent="0.25">
      <c r="F666" s="288">
        <v>45330</v>
      </c>
      <c r="G666" s="286" t="s">
        <v>562</v>
      </c>
      <c r="H666" s="186">
        <f>H667-H665</f>
        <v>118855.42999997735</v>
      </c>
      <c r="L666" s="287"/>
      <c r="M666" s="287"/>
      <c r="N666" s="287"/>
    </row>
    <row r="667" spans="6:14" x14ac:dyDescent="0.25">
      <c r="H667" s="186">
        <v>111219710.41</v>
      </c>
      <c r="L667" s="287"/>
      <c r="M667" s="287"/>
      <c r="N667" s="287"/>
    </row>
    <row r="668" spans="6:14" x14ac:dyDescent="0.25">
      <c r="F668" s="288">
        <v>45331</v>
      </c>
      <c r="G668" s="286" t="s">
        <v>563</v>
      </c>
      <c r="H668" s="186">
        <f>H669-H667</f>
        <v>391104.73000001907</v>
      </c>
      <c r="L668" s="287"/>
      <c r="M668" s="287"/>
      <c r="N668" s="287"/>
    </row>
    <row r="669" spans="6:14" x14ac:dyDescent="0.25">
      <c r="H669" s="186">
        <v>111610815.14000002</v>
      </c>
      <c r="L669" s="287"/>
      <c r="M669" s="287"/>
      <c r="N669" s="287"/>
    </row>
    <row r="670" spans="6:14" x14ac:dyDescent="0.25">
      <c r="F670" s="288">
        <v>45335</v>
      </c>
      <c r="G670" s="286" t="s">
        <v>564</v>
      </c>
      <c r="H670" s="186">
        <f>H671-H669</f>
        <v>1012389.1299999803</v>
      </c>
      <c r="L670" s="287"/>
      <c r="M670" s="287"/>
      <c r="N670" s="287"/>
    </row>
    <row r="671" spans="6:14" x14ac:dyDescent="0.25">
      <c r="H671" s="186">
        <v>112623204.27</v>
      </c>
      <c r="L671" s="287"/>
      <c r="M671" s="287"/>
      <c r="N671" s="287"/>
    </row>
    <row r="672" spans="6:14" x14ac:dyDescent="0.25">
      <c r="L672" s="287"/>
      <c r="M672" s="287"/>
      <c r="N672" s="287"/>
    </row>
    <row r="673" spans="4:14" x14ac:dyDescent="0.25">
      <c r="L673" s="287"/>
      <c r="M673" s="287"/>
      <c r="N673" s="287"/>
    </row>
    <row r="674" spans="4:14" x14ac:dyDescent="0.25">
      <c r="L674" s="287"/>
      <c r="M674" s="287"/>
      <c r="N674" s="287"/>
    </row>
    <row r="675" spans="4:14" x14ac:dyDescent="0.25">
      <c r="L675" s="287"/>
      <c r="M675" s="287"/>
      <c r="N675" s="287"/>
    </row>
    <row r="676" spans="4:14" x14ac:dyDescent="0.25">
      <c r="L676" s="287"/>
      <c r="M676" s="287"/>
      <c r="N676" s="287"/>
    </row>
    <row r="677" spans="4:14" x14ac:dyDescent="0.25">
      <c r="F677" s="288"/>
      <c r="G677" s="276"/>
      <c r="L677" s="287"/>
      <c r="M677" s="287"/>
      <c r="N677" s="287"/>
    </row>
    <row r="678" spans="4:14" x14ac:dyDescent="0.25">
      <c r="F678" s="288"/>
      <c r="G678" s="276"/>
      <c r="L678" s="287"/>
      <c r="M678" s="287"/>
      <c r="N678" s="287"/>
    </row>
    <row r="679" spans="4:14" x14ac:dyDescent="0.25">
      <c r="D679" s="352">
        <v>1</v>
      </c>
      <c r="E679" s="186" t="s">
        <v>565</v>
      </c>
      <c r="F679" s="288"/>
      <c r="G679" s="276"/>
      <c r="L679" s="287"/>
      <c r="M679" s="287"/>
      <c r="N679" s="287"/>
    </row>
    <row r="680" spans="4:14" x14ac:dyDescent="0.25">
      <c r="D680" s="352">
        <v>2</v>
      </c>
      <c r="E680" s="185" t="s">
        <v>566</v>
      </c>
      <c r="F680" s="288"/>
      <c r="G680" s="276"/>
      <c r="L680" s="287"/>
      <c r="M680" s="287"/>
      <c r="N680" s="287"/>
    </row>
    <row r="681" spans="4:14" x14ac:dyDescent="0.25">
      <c r="D681" s="352">
        <v>3</v>
      </c>
      <c r="E681" s="186" t="s">
        <v>567</v>
      </c>
      <c r="F681" s="288"/>
      <c r="G681" s="276"/>
      <c r="L681" s="287"/>
      <c r="M681" s="287"/>
      <c r="N681" s="287"/>
    </row>
    <row r="682" spans="4:14" x14ac:dyDescent="0.25">
      <c r="D682" s="353">
        <v>4</v>
      </c>
      <c r="E682" s="186" t="s">
        <v>568</v>
      </c>
      <c r="L682" s="287"/>
      <c r="M682" s="287"/>
      <c r="N682" s="287"/>
    </row>
    <row r="683" spans="4:14" x14ac:dyDescent="0.25">
      <c r="D683" s="353">
        <v>5</v>
      </c>
      <c r="E683" s="186" t="s">
        <v>569</v>
      </c>
      <c r="L683" s="287"/>
      <c r="M683" s="287"/>
      <c r="N683" s="287"/>
    </row>
    <row r="684" spans="4:14" x14ac:dyDescent="0.25">
      <c r="D684" s="353">
        <v>6</v>
      </c>
      <c r="E684" s="186" t="s">
        <v>570</v>
      </c>
      <c r="L684" s="287"/>
      <c r="M684" s="287"/>
      <c r="N684" s="287"/>
    </row>
    <row r="685" spans="4:14" x14ac:dyDescent="0.25">
      <c r="D685" s="353">
        <v>7</v>
      </c>
      <c r="E685" s="186" t="s">
        <v>571</v>
      </c>
      <c r="L685" s="287"/>
      <c r="M685" s="287"/>
      <c r="N685" s="287"/>
    </row>
    <row r="686" spans="4:14" x14ac:dyDescent="0.25">
      <c r="K686" s="194"/>
      <c r="L686" s="275"/>
      <c r="M686" s="275"/>
      <c r="N686" s="275"/>
    </row>
    <row r="687" spans="4:14" x14ac:dyDescent="0.25">
      <c r="F687" s="286" t="s">
        <v>453</v>
      </c>
      <c r="G687" s="185"/>
      <c r="H687" s="287"/>
      <c r="L687" s="287"/>
      <c r="M687" s="287"/>
      <c r="N687" s="287"/>
    </row>
    <row r="688" spans="4:14" x14ac:dyDescent="0.25">
      <c r="F688" s="185">
        <f>C442</f>
        <v>2853802.9799999893</v>
      </c>
      <c r="H688" s="287"/>
      <c r="K688" s="194"/>
      <c r="L688" s="275"/>
      <c r="M688" s="275"/>
      <c r="N688" s="275"/>
    </row>
    <row r="689" spans="5:15" x14ac:dyDescent="0.25">
      <c r="F689" s="185"/>
      <c r="G689" s="185"/>
      <c r="H689" s="287"/>
      <c r="L689" s="287"/>
      <c r="M689" s="287"/>
      <c r="N689" s="287"/>
    </row>
    <row r="690" spans="5:15" x14ac:dyDescent="0.25">
      <c r="F690" s="298" t="s">
        <v>454</v>
      </c>
      <c r="G690" s="276"/>
      <c r="K690" s="194"/>
      <c r="L690" s="275"/>
      <c r="M690" s="275"/>
      <c r="N690" s="275"/>
    </row>
    <row r="691" spans="5:15" x14ac:dyDescent="0.25">
      <c r="F691" s="299" t="s">
        <v>455</v>
      </c>
      <c r="G691" s="276"/>
      <c r="L691" s="287"/>
      <c r="M691" s="287"/>
      <c r="N691" s="287"/>
    </row>
    <row r="692" spans="5:15" x14ac:dyDescent="0.25">
      <c r="F692" s="299" t="s">
        <v>456</v>
      </c>
      <c r="G692" s="276"/>
      <c r="K692" s="194"/>
      <c r="L692" s="275"/>
      <c r="M692" s="275"/>
      <c r="N692" s="275"/>
    </row>
    <row r="693" spans="5:15" x14ac:dyDescent="0.25">
      <c r="J693" s="186"/>
      <c r="L693" s="287"/>
      <c r="M693" s="287"/>
      <c r="N693" s="287"/>
    </row>
    <row r="694" spans="5:15" x14ac:dyDescent="0.25">
      <c r="J694" s="186"/>
      <c r="K694" s="194"/>
      <c r="L694" s="275"/>
      <c r="M694" s="275"/>
      <c r="N694" s="275"/>
      <c r="O694" s="287"/>
    </row>
    <row r="695" spans="5:15" x14ac:dyDescent="0.25">
      <c r="J695" s="186"/>
      <c r="L695" s="287"/>
      <c r="M695" s="287"/>
      <c r="N695" s="287"/>
      <c r="O695" s="287"/>
    </row>
    <row r="696" spans="5:15" x14ac:dyDescent="0.25">
      <c r="K696" s="186"/>
      <c r="L696" s="275"/>
      <c r="M696" s="275"/>
      <c r="N696" s="275"/>
      <c r="O696" s="287"/>
    </row>
    <row r="697" spans="5:15" x14ac:dyDescent="0.25">
      <c r="E697" s="280"/>
      <c r="F697" s="354"/>
      <c r="G697" s="355"/>
      <c r="H697"/>
      <c r="I697" s="275"/>
      <c r="J697" s="187"/>
      <c r="K697" s="56"/>
      <c r="L697" s="100"/>
      <c r="M697" s="287"/>
      <c r="N697" s="287"/>
      <c r="O697" s="287"/>
    </row>
    <row r="698" spans="5:15" x14ac:dyDescent="0.25">
      <c r="E698" s="280"/>
      <c r="F698" s="354"/>
      <c r="G698" s="355"/>
      <c r="H698"/>
      <c r="I698" s="275"/>
      <c r="J698" s="187"/>
      <c r="K698" s="56"/>
      <c r="L698" s="100"/>
      <c r="M698" s="275"/>
      <c r="N698" s="275"/>
      <c r="O698" s="287"/>
    </row>
    <row r="699" spans="5:15" x14ac:dyDescent="0.25">
      <c r="L699" s="287"/>
      <c r="M699" s="287"/>
      <c r="N699" s="287"/>
      <c r="O699" s="287"/>
    </row>
    <row r="700" spans="5:15" x14ac:dyDescent="0.25">
      <c r="L700" s="287"/>
      <c r="M700" s="287"/>
      <c r="N700" s="287"/>
      <c r="O700" s="287"/>
    </row>
    <row r="701" spans="5:15" x14ac:dyDescent="0.25">
      <c r="L701" s="287"/>
      <c r="M701" s="287"/>
      <c r="N701" s="287"/>
      <c r="O701" s="287"/>
    </row>
    <row r="702" spans="5:15" x14ac:dyDescent="0.25">
      <c r="L702" s="287"/>
      <c r="M702" s="287"/>
      <c r="N702" s="287"/>
      <c r="O702" s="287"/>
    </row>
    <row r="703" spans="5:15" x14ac:dyDescent="0.25">
      <c r="L703" s="287"/>
      <c r="M703" s="287"/>
      <c r="N703" s="287"/>
      <c r="O703" s="287"/>
    </row>
    <row r="704" spans="5:15" x14ac:dyDescent="0.25">
      <c r="L704" s="287"/>
      <c r="M704" s="287"/>
      <c r="N704" s="287"/>
      <c r="O704" s="287"/>
    </row>
    <row r="705" spans="11:15" x14ac:dyDescent="0.25">
      <c r="K705" s="194"/>
      <c r="L705" s="287"/>
      <c r="M705" s="287"/>
      <c r="N705" s="287"/>
      <c r="O705" s="287"/>
    </row>
    <row r="706" spans="11:15" x14ac:dyDescent="0.25">
      <c r="L706" s="287"/>
      <c r="M706" s="287"/>
      <c r="N706" s="287"/>
    </row>
    <row r="707" spans="11:15" x14ac:dyDescent="0.25">
      <c r="K707" s="194"/>
      <c r="L707" s="287"/>
      <c r="M707" s="287"/>
      <c r="N707" s="287"/>
      <c r="O707" s="287"/>
    </row>
    <row r="708" spans="11:15" x14ac:dyDescent="0.25">
      <c r="L708" s="287"/>
      <c r="M708" s="287"/>
      <c r="N708" s="287"/>
    </row>
    <row r="709" spans="11:15" x14ac:dyDescent="0.25">
      <c r="K709" s="194"/>
      <c r="L709" s="287"/>
      <c r="M709" s="287"/>
      <c r="N709" s="287"/>
      <c r="O709" s="276"/>
    </row>
    <row r="710" spans="11:15" x14ac:dyDescent="0.25">
      <c r="L710" s="287"/>
      <c r="M710" s="287"/>
      <c r="N710" s="287"/>
    </row>
    <row r="711" spans="11:15" x14ac:dyDescent="0.25">
      <c r="K711" s="194"/>
      <c r="L711" s="275"/>
      <c r="M711" s="275"/>
      <c r="N711" s="275"/>
      <c r="O711" s="276"/>
    </row>
    <row r="712" spans="11:15" x14ac:dyDescent="0.25">
      <c r="L712" s="287"/>
      <c r="M712" s="287"/>
      <c r="N712" s="287"/>
    </row>
    <row r="713" spans="11:15" x14ac:dyDescent="0.25">
      <c r="K713" s="194"/>
      <c r="L713" s="287"/>
      <c r="M713" s="287"/>
      <c r="N713" s="287"/>
      <c r="O713" s="276"/>
    </row>
    <row r="714" spans="11:15" x14ac:dyDescent="0.25">
      <c r="L714" s="287"/>
      <c r="M714" s="287"/>
      <c r="N714" s="287"/>
    </row>
    <row r="715" spans="11:15" x14ac:dyDescent="0.25">
      <c r="K715" s="194"/>
      <c r="L715" s="275"/>
      <c r="M715" s="275"/>
      <c r="N715" s="275"/>
      <c r="O715" s="276"/>
    </row>
    <row r="716" spans="11:15" x14ac:dyDescent="0.25">
      <c r="L716" s="287"/>
      <c r="M716" s="287"/>
      <c r="N716" s="287"/>
    </row>
    <row r="717" spans="11:15" x14ac:dyDescent="0.25">
      <c r="K717" s="194"/>
      <c r="L717" s="287"/>
      <c r="M717" s="287"/>
      <c r="N717" s="287"/>
    </row>
    <row r="718" spans="11:15" x14ac:dyDescent="0.25">
      <c r="L718" s="287"/>
      <c r="M718" s="287"/>
      <c r="N718" s="287"/>
    </row>
    <row r="719" spans="11:15" x14ac:dyDescent="0.25">
      <c r="K719" s="194"/>
      <c r="L719" s="287"/>
      <c r="M719" s="287"/>
      <c r="N719" s="287"/>
    </row>
    <row r="720" spans="11:15" x14ac:dyDescent="0.25">
      <c r="L720" s="287"/>
      <c r="M720" s="287"/>
      <c r="N720" s="287"/>
    </row>
    <row r="721" spans="11:15" x14ac:dyDescent="0.25">
      <c r="K721" s="194"/>
      <c r="L721" s="287"/>
      <c r="M721" s="287"/>
      <c r="N721" s="287"/>
      <c r="O721" s="269"/>
    </row>
    <row r="722" spans="11:15" x14ac:dyDescent="0.25">
      <c r="L722" s="287"/>
      <c r="M722" s="287"/>
      <c r="N722" s="287"/>
    </row>
    <row r="723" spans="11:15" x14ac:dyDescent="0.25">
      <c r="K723" s="194"/>
      <c r="L723" s="275"/>
      <c r="M723" s="275"/>
      <c r="N723" s="275"/>
      <c r="O723" s="194"/>
    </row>
    <row r="724" spans="11:15" x14ac:dyDescent="0.25">
      <c r="L724" s="287"/>
      <c r="M724" s="287"/>
      <c r="N724" s="287"/>
      <c r="O724" s="185"/>
    </row>
    <row r="725" spans="11:15" x14ac:dyDescent="0.25">
      <c r="K725" s="194"/>
      <c r="L725" s="275"/>
      <c r="M725" s="275"/>
      <c r="N725" s="275"/>
      <c r="O725" s="194"/>
    </row>
    <row r="726" spans="11:15" x14ac:dyDescent="0.25">
      <c r="L726" s="287"/>
      <c r="M726" s="287"/>
      <c r="N726" s="287"/>
      <c r="O726" s="185"/>
    </row>
    <row r="727" spans="11:15" x14ac:dyDescent="0.25">
      <c r="K727" s="194"/>
      <c r="L727" s="275"/>
      <c r="M727" s="275"/>
      <c r="N727" s="275"/>
      <c r="O727" s="194"/>
    </row>
    <row r="728" spans="11:15" x14ac:dyDescent="0.25">
      <c r="O728" s="185"/>
    </row>
    <row r="729" spans="11:15" x14ac:dyDescent="0.25">
      <c r="L729" s="287"/>
      <c r="M729" s="287"/>
      <c r="N729" s="287"/>
    </row>
    <row r="730" spans="11:15" x14ac:dyDescent="0.25">
      <c r="L730" s="287"/>
      <c r="M730" s="287"/>
      <c r="N730" s="287"/>
    </row>
    <row r="731" spans="11:15" x14ac:dyDescent="0.25">
      <c r="L731" s="287"/>
      <c r="M731" s="287"/>
      <c r="N731" s="287"/>
    </row>
    <row r="732" spans="11:15" x14ac:dyDescent="0.25">
      <c r="L732" s="287"/>
      <c r="M732" s="287"/>
      <c r="N732" s="287"/>
    </row>
    <row r="733" spans="11:15" x14ac:dyDescent="0.25">
      <c r="L733" s="287"/>
      <c r="M733" s="287"/>
      <c r="N733" s="287"/>
    </row>
    <row r="734" spans="11:15" x14ac:dyDescent="0.25">
      <c r="L734" s="287"/>
      <c r="M734" s="287"/>
      <c r="N734" s="287"/>
    </row>
    <row r="735" spans="11:15" x14ac:dyDescent="0.25">
      <c r="L735" s="287"/>
      <c r="M735" s="287"/>
      <c r="N735" s="287"/>
    </row>
    <row r="736" spans="11:15" x14ac:dyDescent="0.25">
      <c r="L736" s="287"/>
      <c r="M736" s="287"/>
      <c r="N736" s="287"/>
    </row>
    <row r="737" spans="12:14" x14ac:dyDescent="0.25">
      <c r="L737" s="287"/>
      <c r="M737" s="287"/>
      <c r="N737" s="287"/>
    </row>
    <row r="738" spans="12:14" x14ac:dyDescent="0.25">
      <c r="L738" s="287"/>
      <c r="M738" s="287"/>
      <c r="N738" s="287"/>
    </row>
    <row r="739" spans="12:14" x14ac:dyDescent="0.25">
      <c r="L739" s="287"/>
      <c r="M739" s="287"/>
      <c r="N739" s="287"/>
    </row>
    <row r="740" spans="12:14" x14ac:dyDescent="0.25">
      <c r="L740" s="287"/>
      <c r="M740" s="287"/>
      <c r="N740" s="287"/>
    </row>
    <row r="741" spans="12:14" x14ac:dyDescent="0.25">
      <c r="L741" s="287"/>
      <c r="M741" s="287"/>
      <c r="N741" s="287"/>
    </row>
    <row r="742" spans="12:14" x14ac:dyDescent="0.25">
      <c r="L742" s="287"/>
      <c r="M742" s="287"/>
      <c r="N742" s="287"/>
    </row>
    <row r="743" spans="12:14" x14ac:dyDescent="0.25">
      <c r="L743" s="287"/>
      <c r="M743" s="287"/>
      <c r="N743" s="287"/>
    </row>
    <row r="744" spans="12:14" x14ac:dyDescent="0.25">
      <c r="L744" s="287"/>
      <c r="M744" s="287"/>
      <c r="N744" s="287"/>
    </row>
    <row r="745" spans="12:14" x14ac:dyDescent="0.25">
      <c r="L745" s="287"/>
      <c r="M745" s="287"/>
      <c r="N745" s="287"/>
    </row>
    <row r="746" spans="12:14" x14ac:dyDescent="0.25">
      <c r="L746" s="287"/>
      <c r="M746" s="287"/>
      <c r="N746" s="287"/>
    </row>
    <row r="747" spans="12:14" x14ac:dyDescent="0.25">
      <c r="L747" s="287"/>
      <c r="M747" s="287"/>
      <c r="N747" s="287"/>
    </row>
    <row r="748" spans="12:14" x14ac:dyDescent="0.25">
      <c r="L748" s="287"/>
      <c r="M748" s="287"/>
      <c r="N748" s="287"/>
    </row>
    <row r="749" spans="12:14" x14ac:dyDescent="0.25">
      <c r="L749" s="287"/>
      <c r="M749" s="287"/>
      <c r="N749" s="287"/>
    </row>
    <row r="750" spans="12:14" x14ac:dyDescent="0.25">
      <c r="L750" s="287"/>
      <c r="M750" s="287"/>
      <c r="N750" s="287"/>
    </row>
    <row r="751" spans="12:14" x14ac:dyDescent="0.25">
      <c r="L751" s="287"/>
      <c r="M751" s="287"/>
      <c r="N751" s="287"/>
    </row>
    <row r="752" spans="12:14" x14ac:dyDescent="0.25">
      <c r="L752" s="287"/>
      <c r="M752" s="287"/>
      <c r="N752" s="287"/>
    </row>
    <row r="753" spans="12:14" x14ac:dyDescent="0.25">
      <c r="L753" s="287"/>
      <c r="M753" s="287"/>
      <c r="N753" s="287"/>
    </row>
    <row r="754" spans="12:14" x14ac:dyDescent="0.25">
      <c r="L754" s="287"/>
      <c r="M754" s="287"/>
      <c r="N754" s="287"/>
    </row>
    <row r="755" spans="12:14" x14ac:dyDescent="0.25">
      <c r="L755" s="287"/>
      <c r="M755" s="287"/>
      <c r="N755" s="287"/>
    </row>
    <row r="756" spans="12:14" x14ac:dyDescent="0.25">
      <c r="L756" s="287"/>
      <c r="M756" s="287"/>
      <c r="N756" s="287"/>
    </row>
    <row r="757" spans="12:14" x14ac:dyDescent="0.25">
      <c r="L757" s="287"/>
      <c r="M757" s="287"/>
      <c r="N757" s="287"/>
    </row>
    <row r="758" spans="12:14" x14ac:dyDescent="0.25">
      <c r="L758" s="287"/>
      <c r="M758" s="287"/>
      <c r="N758" s="287"/>
    </row>
    <row r="759" spans="12:14" x14ac:dyDescent="0.25">
      <c r="L759" s="287"/>
      <c r="M759" s="287"/>
      <c r="N759" s="287"/>
    </row>
    <row r="760" spans="12:14" x14ac:dyDescent="0.25">
      <c r="L760" s="287"/>
      <c r="M760" s="287"/>
      <c r="N760" s="287"/>
    </row>
    <row r="761" spans="12:14" x14ac:dyDescent="0.25">
      <c r="L761" s="287"/>
      <c r="M761" s="287"/>
      <c r="N761" s="287"/>
    </row>
    <row r="762" spans="12:14" x14ac:dyDescent="0.25">
      <c r="L762" s="287"/>
      <c r="M762" s="287"/>
      <c r="N762" s="287"/>
    </row>
    <row r="763" spans="12:14" x14ac:dyDescent="0.25">
      <c r="L763" s="287"/>
      <c r="M763" s="287"/>
      <c r="N763" s="287"/>
    </row>
    <row r="764" spans="12:14" x14ac:dyDescent="0.25">
      <c r="L764" s="287"/>
      <c r="M764" s="287"/>
      <c r="N764" s="287"/>
    </row>
    <row r="765" spans="12:14" x14ac:dyDescent="0.25">
      <c r="L765" s="287"/>
      <c r="M765" s="287"/>
      <c r="N765" s="287"/>
    </row>
    <row r="766" spans="12:14" x14ac:dyDescent="0.25">
      <c r="L766" s="287"/>
      <c r="M766" s="287"/>
      <c r="N766" s="287"/>
    </row>
    <row r="767" spans="12:14" x14ac:dyDescent="0.25">
      <c r="L767" s="287"/>
      <c r="M767" s="287"/>
      <c r="N767" s="287"/>
    </row>
    <row r="768" spans="12:14" x14ac:dyDescent="0.25">
      <c r="L768" s="287"/>
      <c r="M768" s="287"/>
      <c r="N768" s="287"/>
    </row>
    <row r="769" spans="12:14" x14ac:dyDescent="0.25">
      <c r="L769" s="287"/>
      <c r="M769" s="287"/>
      <c r="N769" s="287"/>
    </row>
    <row r="770" spans="12:14" x14ac:dyDescent="0.25">
      <c r="L770" s="287"/>
      <c r="M770" s="287"/>
      <c r="N770" s="287"/>
    </row>
    <row r="771" spans="12:14" x14ac:dyDescent="0.25">
      <c r="L771" s="287"/>
      <c r="M771" s="287"/>
      <c r="N771" s="287"/>
    </row>
    <row r="772" spans="12:14" x14ac:dyDescent="0.25">
      <c r="L772" s="287"/>
      <c r="M772" s="287"/>
      <c r="N772" s="287"/>
    </row>
    <row r="773" spans="12:14" x14ac:dyDescent="0.25">
      <c r="L773" s="287"/>
      <c r="M773" s="287"/>
      <c r="N773" s="287"/>
    </row>
    <row r="774" spans="12:14" x14ac:dyDescent="0.25">
      <c r="L774" s="287"/>
      <c r="M774" s="287"/>
      <c r="N774" s="287"/>
    </row>
    <row r="775" spans="12:14" x14ac:dyDescent="0.25">
      <c r="L775" s="287"/>
      <c r="M775" s="287"/>
      <c r="N775" s="287"/>
    </row>
    <row r="776" spans="12:14" x14ac:dyDescent="0.25">
      <c r="L776" s="287"/>
      <c r="M776" s="287"/>
      <c r="N776" s="287"/>
    </row>
    <row r="777" spans="12:14" x14ac:dyDescent="0.25">
      <c r="L777" s="287"/>
      <c r="M777" s="287"/>
      <c r="N777" s="287"/>
    </row>
    <row r="778" spans="12:14" x14ac:dyDescent="0.25">
      <c r="L778" s="287"/>
      <c r="M778" s="287"/>
      <c r="N778" s="287"/>
    </row>
    <row r="779" spans="12:14" x14ac:dyDescent="0.25">
      <c r="L779" s="287"/>
      <c r="M779" s="287"/>
      <c r="N779" s="287"/>
    </row>
    <row r="780" spans="12:14" x14ac:dyDescent="0.25">
      <c r="L780" s="287"/>
      <c r="M780" s="287"/>
      <c r="N780" s="287"/>
    </row>
    <row r="781" spans="12:14" x14ac:dyDescent="0.25">
      <c r="L781" s="287"/>
      <c r="M781" s="287"/>
      <c r="N781" s="287"/>
    </row>
    <row r="782" spans="12:14" x14ac:dyDescent="0.25">
      <c r="L782" s="287"/>
      <c r="M782" s="287"/>
      <c r="N782" s="287"/>
    </row>
    <row r="783" spans="12:14" x14ac:dyDescent="0.25">
      <c r="L783" s="287"/>
      <c r="M783" s="287"/>
      <c r="N783" s="287"/>
    </row>
    <row r="784" spans="12:14" x14ac:dyDescent="0.25">
      <c r="L784" s="287"/>
      <c r="M784" s="287"/>
      <c r="N784" s="287"/>
    </row>
    <row r="785" spans="12:14" x14ac:dyDescent="0.25">
      <c r="L785" s="287"/>
      <c r="M785" s="287"/>
      <c r="N785" s="287"/>
    </row>
    <row r="786" spans="12:14" x14ac:dyDescent="0.25">
      <c r="L786" s="287"/>
      <c r="M786" s="287"/>
      <c r="N786" s="287"/>
    </row>
    <row r="787" spans="12:14" x14ac:dyDescent="0.25">
      <c r="L787" s="287"/>
      <c r="M787" s="287"/>
      <c r="N787" s="287"/>
    </row>
    <row r="788" spans="12:14" x14ac:dyDescent="0.25">
      <c r="L788" s="287"/>
      <c r="M788" s="287"/>
      <c r="N788" s="287"/>
    </row>
    <row r="789" spans="12:14" x14ac:dyDescent="0.25">
      <c r="L789" s="287"/>
      <c r="M789" s="287"/>
      <c r="N789" s="287"/>
    </row>
    <row r="790" spans="12:14" x14ac:dyDescent="0.25">
      <c r="L790" s="287"/>
      <c r="M790" s="287"/>
      <c r="N790" s="287"/>
    </row>
    <row r="791" spans="12:14" x14ac:dyDescent="0.25">
      <c r="L791" s="287"/>
      <c r="M791" s="287"/>
      <c r="N791" s="287"/>
    </row>
    <row r="792" spans="12:14" x14ac:dyDescent="0.25">
      <c r="L792" s="287"/>
      <c r="M792" s="287"/>
      <c r="N792" s="287"/>
    </row>
    <row r="793" spans="12:14" x14ac:dyDescent="0.25">
      <c r="L793" s="287"/>
      <c r="M793" s="287"/>
      <c r="N793" s="287"/>
    </row>
    <row r="794" spans="12:14" x14ac:dyDescent="0.25">
      <c r="L794" s="287"/>
      <c r="M794" s="287"/>
      <c r="N794" s="287"/>
    </row>
  </sheetData>
  <conditionalFormatting sqref="A7:XFD565">
    <cfRule type="expression" dxfId="128" priority="1">
      <formula>$L7&lt;0</formula>
    </cfRule>
  </conditionalFormatting>
  <conditionalFormatting sqref="L1:L1048576 A7:K7 M7:XFD7">
    <cfRule type="cellIs" dxfId="127" priority="2" operator="lessThan">
      <formula>0</formula>
    </cfRule>
  </conditionalFormatting>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2DE01-A23E-4DB2-A15F-ADDB921F4400}">
  <dimension ref="A1:T662"/>
  <sheetViews>
    <sheetView workbookViewId="0">
      <pane xSplit="3" ySplit="11" topLeftCell="D48" activePane="bottomRight" state="frozen"/>
      <selection pane="topRight" activeCell="D1" sqref="D1"/>
      <selection pane="bottomLeft" activeCell="A12" sqref="A12"/>
      <selection pane="bottomRight" activeCell="K68" sqref="K68"/>
    </sheetView>
  </sheetViews>
  <sheetFormatPr defaultRowHeight="13.2" x14ac:dyDescent="0.25"/>
  <cols>
    <col min="1" max="1" width="23.5546875" customWidth="1"/>
    <col min="2" max="2" width="28" customWidth="1"/>
    <col min="3" max="3" width="24.6640625" customWidth="1"/>
    <col min="4" max="4" width="18.5546875" style="36" customWidth="1"/>
    <col min="5" max="5" width="21.77734375" style="36" customWidth="1"/>
    <col min="6" max="6" width="14.6640625" style="36" customWidth="1"/>
    <col min="7" max="7" width="14.21875" style="36" customWidth="1"/>
    <col min="8" max="8" width="13" style="36" customWidth="1"/>
    <col min="9" max="9" width="14.33203125" style="36" customWidth="1"/>
    <col min="10" max="10" width="12.6640625" style="36" customWidth="1"/>
    <col min="11" max="11" width="13" style="36" customWidth="1"/>
    <col min="12" max="12" width="13.44140625" style="36" customWidth="1"/>
    <col min="13" max="13" width="14.6640625" style="36" customWidth="1"/>
    <col min="14" max="14" width="13.33203125" style="36" customWidth="1"/>
    <col min="15" max="15" width="12.6640625" style="36" customWidth="1"/>
    <col min="16" max="16" width="14.44140625" style="36" customWidth="1"/>
    <col min="17" max="17" width="12.6640625" style="36" customWidth="1"/>
    <col min="18" max="18" width="14.33203125" style="36" customWidth="1"/>
    <col min="19" max="19" width="12.6640625" style="8" customWidth="1"/>
    <col min="20" max="20" width="11.33203125" bestFit="1" customWidth="1"/>
  </cols>
  <sheetData>
    <row r="1" spans="1:19" x14ac:dyDescent="0.25">
      <c r="A1" s="64"/>
    </row>
    <row r="3" spans="1:19" x14ac:dyDescent="0.25">
      <c r="A3" s="37"/>
      <c r="B3" s="37"/>
      <c r="C3" s="37"/>
      <c r="D3" s="38"/>
      <c r="E3" s="38"/>
      <c r="F3" s="38"/>
      <c r="G3" s="38"/>
      <c r="H3" s="38"/>
      <c r="I3" s="38"/>
      <c r="J3" s="38"/>
      <c r="K3" s="38"/>
      <c r="L3" s="38"/>
      <c r="M3" s="38"/>
      <c r="N3" s="38"/>
      <c r="O3" s="38"/>
      <c r="P3" s="38"/>
      <c r="Q3" s="38"/>
      <c r="R3" s="91" t="s">
        <v>56</v>
      </c>
      <c r="S3" s="39" t="s">
        <v>7</v>
      </c>
    </row>
    <row r="4" spans="1:19" x14ac:dyDescent="0.25">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8" thickBot="1" x14ac:dyDescent="0.3">
      <c r="C5" s="43" t="s">
        <v>24</v>
      </c>
      <c r="D5" s="44">
        <f>D7+D9+D11</f>
        <v>115192723.65000002</v>
      </c>
      <c r="E5" s="44">
        <f t="shared" ref="E5:Q5" si="0">E7+E9+E11</f>
        <v>72193601.030000016</v>
      </c>
      <c r="F5" s="44">
        <f t="shared" si="0"/>
        <v>10588107.010000002</v>
      </c>
      <c r="G5" s="44">
        <f t="shared" si="0"/>
        <v>0</v>
      </c>
      <c r="H5" s="44">
        <f t="shared" si="0"/>
        <v>5799556.7800000003</v>
      </c>
      <c r="I5" s="44">
        <f t="shared" si="0"/>
        <v>2956327.01</v>
      </c>
      <c r="J5" s="44">
        <f t="shared" si="0"/>
        <v>216168.12</v>
      </c>
      <c r="K5" s="44">
        <f t="shared" si="0"/>
        <v>1589597.1699999997</v>
      </c>
      <c r="L5" s="44">
        <f t="shared" si="0"/>
        <v>2590964.7400000002</v>
      </c>
      <c r="M5" s="44">
        <f t="shared" si="0"/>
        <v>1082344.3700000001</v>
      </c>
      <c r="N5" s="44">
        <f t="shared" si="0"/>
        <v>2467698.9900000002</v>
      </c>
      <c r="O5" s="44">
        <f t="shared" si="0"/>
        <v>1234513.95</v>
      </c>
      <c r="P5" s="44">
        <f t="shared" si="0"/>
        <v>13826161.269999998</v>
      </c>
      <c r="Q5" s="44">
        <f t="shared" si="0"/>
        <v>647683.21</v>
      </c>
      <c r="R5" s="44">
        <f>R7+R9+R11</f>
        <v>0</v>
      </c>
      <c r="S5" s="45"/>
    </row>
    <row r="6" spans="1:19" s="43" customFormat="1" ht="13.8" thickTop="1" x14ac:dyDescent="0.25">
      <c r="B6" s="48"/>
      <c r="D6" s="48"/>
      <c r="E6" s="48"/>
      <c r="F6" s="48"/>
      <c r="G6" s="48"/>
      <c r="H6" s="48"/>
      <c r="I6" s="48"/>
      <c r="J6" s="48"/>
      <c r="K6" s="48"/>
      <c r="L6" s="48"/>
      <c r="M6" s="48"/>
      <c r="N6" s="48"/>
      <c r="O6" s="48"/>
      <c r="P6" s="48"/>
      <c r="Q6" s="48"/>
      <c r="R6" s="48"/>
      <c r="S6" s="55"/>
    </row>
    <row r="7" spans="1:19" s="43" customFormat="1" ht="13.8" thickBot="1" x14ac:dyDescent="0.3">
      <c r="C7" s="69" t="s">
        <v>76</v>
      </c>
      <c r="D7" s="44">
        <f>SUM(E7:R7)</f>
        <v>25000000.000000004</v>
      </c>
      <c r="E7" s="44">
        <f>E13</f>
        <v>10632055.15</v>
      </c>
      <c r="F7" s="44">
        <f>F14</f>
        <v>5413423.9399999985</v>
      </c>
      <c r="G7" s="44"/>
      <c r="H7" s="44">
        <f>H15</f>
        <v>927390.77000000014</v>
      </c>
      <c r="I7" s="44">
        <f>I16</f>
        <v>492770.95999999996</v>
      </c>
      <c r="J7" s="44">
        <f>J17</f>
        <v>216168.12</v>
      </c>
      <c r="K7" s="44">
        <f>K18</f>
        <v>1374259.93</v>
      </c>
      <c r="L7" s="44">
        <f>L19</f>
        <v>1858039.76</v>
      </c>
      <c r="M7" s="44">
        <f>M21</f>
        <v>825384.37</v>
      </c>
      <c r="N7" s="44">
        <f>N23</f>
        <v>1562692.73</v>
      </c>
      <c r="O7" s="44">
        <f>O24</f>
        <v>884066.11</v>
      </c>
      <c r="P7" s="44">
        <f>P26</f>
        <v>671370.52</v>
      </c>
      <c r="Q7" s="44">
        <f>Q27</f>
        <v>142377.64000000001</v>
      </c>
      <c r="R7" s="44">
        <f>R28</f>
        <v>0</v>
      </c>
      <c r="S7" s="45">
        <f>SUM(S13:S27)</f>
        <v>0.99999999999999967</v>
      </c>
    </row>
    <row r="8" spans="1:19" s="43" customFormat="1" ht="13.8" thickTop="1" x14ac:dyDescent="0.25">
      <c r="B8" s="48"/>
      <c r="D8" s="48"/>
      <c r="E8" s="48"/>
      <c r="F8" s="48"/>
      <c r="G8" s="48"/>
      <c r="H8" s="48"/>
      <c r="I8" s="48"/>
      <c r="J8" s="48"/>
      <c r="K8" s="48"/>
      <c r="L8" s="48"/>
      <c r="M8" s="48"/>
      <c r="N8" s="48"/>
      <c r="O8" s="48"/>
      <c r="P8" s="48"/>
      <c r="Q8" s="48"/>
      <c r="R8" s="48"/>
      <c r="S8" s="55"/>
    </row>
    <row r="9" spans="1:19" s="43" customFormat="1" ht="13.8" thickBot="1" x14ac:dyDescent="0.3">
      <c r="B9" s="48"/>
      <c r="C9" s="69" t="s">
        <v>77</v>
      </c>
      <c r="D9" s="44">
        <f>SUM(E9:R9)</f>
        <v>40053220.82</v>
      </c>
      <c r="E9" s="44">
        <f>+E47+E63+E48+E64+E30+E65</f>
        <v>11422043.050000003</v>
      </c>
      <c r="F9" s="44">
        <f>F61+F31</f>
        <v>5174683.0700000031</v>
      </c>
      <c r="G9" s="44"/>
      <c r="H9" s="44">
        <f>H53+H52+H68+H32</f>
        <v>4872166.01</v>
      </c>
      <c r="I9" s="44">
        <f>I54+I55+I70+I71+I72+I56+I33</f>
        <v>2463556.0499999998</v>
      </c>
      <c r="J9" s="44">
        <f>J34</f>
        <v>0</v>
      </c>
      <c r="K9" s="44">
        <f>K35+K61</f>
        <v>215337.23999999967</v>
      </c>
      <c r="L9" s="44">
        <f>L36</f>
        <v>732924.98000000021</v>
      </c>
      <c r="M9" s="44">
        <f>M38</f>
        <v>256960.00000000012</v>
      </c>
      <c r="N9" s="44">
        <f>N58+N74+N40</f>
        <v>905006.26000000036</v>
      </c>
      <c r="O9" s="44">
        <f>O41</f>
        <v>350447.83999999997</v>
      </c>
      <c r="P9" s="44">
        <f>P75+P76+P77+P43+P78</f>
        <v>13154790.749999998</v>
      </c>
      <c r="Q9" s="44">
        <f>Q44</f>
        <v>505305.56999999995</v>
      </c>
      <c r="R9" s="44">
        <f>R79</f>
        <v>0</v>
      </c>
      <c r="S9" s="45">
        <f>SUM(S30:S79)</f>
        <v>1</v>
      </c>
    </row>
    <row r="10" spans="1:19" ht="13.8" thickTop="1" x14ac:dyDescent="0.25">
      <c r="A10" s="46"/>
      <c r="B10" s="339"/>
      <c r="C10" s="2"/>
      <c r="D10" s="47"/>
      <c r="E10" s="47"/>
      <c r="F10" s="47"/>
      <c r="G10" s="47"/>
      <c r="H10" s="47"/>
      <c r="I10" s="47"/>
      <c r="J10" s="47"/>
      <c r="K10" s="47"/>
      <c r="L10" s="47"/>
      <c r="M10" s="47"/>
      <c r="N10" s="47"/>
      <c r="O10" s="47"/>
      <c r="P10" s="47"/>
      <c r="Q10" s="47"/>
      <c r="R10" s="47"/>
    </row>
    <row r="11" spans="1:19" ht="13.8" thickBot="1" x14ac:dyDescent="0.3">
      <c r="A11" s="46"/>
      <c r="B11" s="339"/>
      <c r="C11" s="69" t="s">
        <v>88</v>
      </c>
      <c r="D11" s="44">
        <f>SUM(E11:R11)</f>
        <v>50139502.830000013</v>
      </c>
      <c r="E11" s="44">
        <f>E81+E82</f>
        <v>50139502.830000013</v>
      </c>
      <c r="F11" s="80"/>
      <c r="G11" s="80"/>
      <c r="H11" s="80"/>
      <c r="I11" s="80"/>
      <c r="J11" s="80"/>
      <c r="K11" s="80"/>
      <c r="L11" s="80"/>
      <c r="M11" s="80"/>
      <c r="N11" s="80"/>
      <c r="O11" s="80"/>
      <c r="P11" s="80"/>
      <c r="Q11" s="80"/>
      <c r="R11" s="44">
        <f>R83</f>
        <v>0</v>
      </c>
      <c r="S11" s="45">
        <f>S81+S82+S83</f>
        <v>1</v>
      </c>
    </row>
    <row r="12" spans="1:19" ht="13.8" thickTop="1" x14ac:dyDescent="0.25">
      <c r="A12" s="46" t="s">
        <v>466</v>
      </c>
      <c r="B12" s="2"/>
      <c r="C12" s="69"/>
      <c r="D12" s="48"/>
      <c r="E12" s="48"/>
      <c r="F12" s="47"/>
      <c r="G12" s="47"/>
      <c r="H12" s="47"/>
      <c r="I12" s="47"/>
      <c r="J12" s="47"/>
      <c r="K12" s="47"/>
      <c r="L12" s="47"/>
      <c r="M12" s="47"/>
      <c r="N12" s="47"/>
      <c r="O12" s="47"/>
      <c r="P12" s="47"/>
      <c r="Q12" s="47"/>
      <c r="R12" s="47"/>
      <c r="S12" s="55"/>
    </row>
    <row r="13" spans="1:19" x14ac:dyDescent="0.25">
      <c r="A13" s="56" t="s">
        <v>11</v>
      </c>
      <c r="B13" s="107" t="s">
        <v>167</v>
      </c>
      <c r="C13" s="56" t="s">
        <v>32</v>
      </c>
      <c r="D13" s="36">
        <f t="shared" ref="D13:D26" si="1">SUM(E13:R13)</f>
        <v>10632055.15</v>
      </c>
      <c r="E13" s="360">
        <f>B107</f>
        <v>10632055.15</v>
      </c>
      <c r="F13" s="47"/>
      <c r="G13" s="47"/>
      <c r="H13" s="47"/>
      <c r="I13" s="47"/>
      <c r="J13" s="47"/>
      <c r="K13" s="47"/>
      <c r="L13" s="47"/>
      <c r="M13" s="47"/>
      <c r="N13" s="47"/>
      <c r="O13" s="47"/>
      <c r="P13" s="47"/>
      <c r="Q13" s="47"/>
      <c r="R13" s="47"/>
      <c r="S13" s="55">
        <f>D13/$D$7</f>
        <v>0.42528220599999994</v>
      </c>
    </row>
    <row r="14" spans="1:19" x14ac:dyDescent="0.25">
      <c r="A14" s="2" t="s">
        <v>12</v>
      </c>
      <c r="B14" s="107" t="s">
        <v>121</v>
      </c>
      <c r="C14" s="56" t="s">
        <v>32</v>
      </c>
      <c r="D14" s="36">
        <f t="shared" si="1"/>
        <v>5413423.9399999985</v>
      </c>
      <c r="E14" s="48"/>
      <c r="F14" s="361">
        <f>C107</f>
        <v>5413423.9399999985</v>
      </c>
      <c r="G14" s="47"/>
      <c r="H14" s="47"/>
      <c r="I14" s="47"/>
      <c r="J14" s="47"/>
      <c r="K14" s="47"/>
      <c r="L14" s="47"/>
      <c r="M14" s="47"/>
      <c r="N14" s="47"/>
      <c r="O14" s="47"/>
      <c r="P14" s="47"/>
      <c r="Q14" s="47"/>
      <c r="R14" s="47"/>
      <c r="S14" s="55">
        <f>D14/$D$7</f>
        <v>0.21653695759999991</v>
      </c>
    </row>
    <row r="15" spans="1:19" x14ac:dyDescent="0.25">
      <c r="A15" s="2" t="s">
        <v>14</v>
      </c>
      <c r="B15" s="107" t="s">
        <v>582</v>
      </c>
      <c r="C15" s="56" t="s">
        <v>32</v>
      </c>
      <c r="D15" s="36">
        <f t="shared" si="1"/>
        <v>927390.77000000014</v>
      </c>
      <c r="E15" s="48"/>
      <c r="F15" s="47"/>
      <c r="G15" s="47"/>
      <c r="H15" s="361">
        <f>D107</f>
        <v>927390.77000000014</v>
      </c>
      <c r="I15" s="47"/>
      <c r="J15" s="47"/>
      <c r="K15" s="47"/>
      <c r="L15" s="47"/>
      <c r="M15" s="47"/>
      <c r="N15" s="47"/>
      <c r="O15" s="47"/>
      <c r="P15" s="47"/>
      <c r="Q15" s="47"/>
      <c r="R15" s="47"/>
      <c r="S15" s="55">
        <f t="shared" ref="S15:S27" si="2">D15/$D$7</f>
        <v>3.7095630800000001E-2</v>
      </c>
    </row>
    <row r="16" spans="1:19" x14ac:dyDescent="0.25">
      <c r="A16" s="2" t="s">
        <v>15</v>
      </c>
      <c r="B16" s="107" t="s">
        <v>120</v>
      </c>
      <c r="C16" s="56" t="s">
        <v>32</v>
      </c>
      <c r="D16" s="36">
        <f t="shared" si="1"/>
        <v>492770.95999999996</v>
      </c>
      <c r="E16" s="48"/>
      <c r="F16" s="47"/>
      <c r="G16" s="47"/>
      <c r="H16" s="47"/>
      <c r="I16" s="361">
        <f>E107</f>
        <v>492770.95999999996</v>
      </c>
      <c r="J16" s="47"/>
      <c r="K16" s="47"/>
      <c r="L16" s="47"/>
      <c r="M16" s="47"/>
      <c r="N16" s="47"/>
      <c r="O16" s="47"/>
      <c r="P16" s="47"/>
      <c r="Q16" s="47"/>
      <c r="R16" s="47"/>
      <c r="S16" s="55">
        <f t="shared" si="2"/>
        <v>1.9710838399999996E-2</v>
      </c>
    </row>
    <row r="17" spans="1:20" x14ac:dyDescent="0.25">
      <c r="A17" s="2" t="s">
        <v>16</v>
      </c>
      <c r="B17" s="107" t="s">
        <v>586</v>
      </c>
      <c r="C17" s="56" t="s">
        <v>32</v>
      </c>
      <c r="D17" s="36">
        <f t="shared" si="1"/>
        <v>216168.12</v>
      </c>
      <c r="E17" s="48"/>
      <c r="F17" s="47"/>
      <c r="G17" s="47"/>
      <c r="H17" s="47"/>
      <c r="I17" s="47"/>
      <c r="J17" s="361">
        <v>216168.12</v>
      </c>
      <c r="K17" s="47"/>
      <c r="L17" s="47"/>
      <c r="M17" s="47"/>
      <c r="N17" s="47"/>
      <c r="O17" s="47"/>
      <c r="P17" s="47"/>
      <c r="Q17" s="47"/>
      <c r="R17" s="47"/>
      <c r="S17" s="55">
        <f t="shared" si="2"/>
        <v>8.6467247999999983E-3</v>
      </c>
    </row>
    <row r="18" spans="1:20" x14ac:dyDescent="0.25">
      <c r="A18" s="2" t="s">
        <v>56</v>
      </c>
      <c r="B18" s="107" t="s">
        <v>54</v>
      </c>
      <c r="C18" s="56" t="s">
        <v>36</v>
      </c>
      <c r="D18" s="36">
        <f t="shared" si="1"/>
        <v>1374259.93</v>
      </c>
      <c r="E18" s="48"/>
      <c r="F18" s="47"/>
      <c r="G18" s="47"/>
      <c r="H18" s="47"/>
      <c r="I18" s="47"/>
      <c r="J18" s="47"/>
      <c r="K18" s="361">
        <v>1374259.93</v>
      </c>
      <c r="L18" s="47"/>
      <c r="M18" s="47"/>
      <c r="N18" s="47"/>
      <c r="O18" s="47"/>
      <c r="P18" s="47"/>
      <c r="Q18" s="47"/>
      <c r="R18" s="47"/>
      <c r="S18" s="55">
        <f t="shared" si="2"/>
        <v>5.4970397199999986E-2</v>
      </c>
    </row>
    <row r="19" spans="1:20" x14ac:dyDescent="0.25">
      <c r="A19" s="2" t="s">
        <v>17</v>
      </c>
      <c r="B19" s="107" t="s">
        <v>128</v>
      </c>
      <c r="C19" s="56" t="s">
        <v>32</v>
      </c>
      <c r="D19" s="36">
        <f t="shared" si="1"/>
        <v>1858039.76</v>
      </c>
      <c r="E19" s="48"/>
      <c r="F19" s="47"/>
      <c r="G19" s="47"/>
      <c r="H19" s="47"/>
      <c r="I19" s="47"/>
      <c r="J19" s="47"/>
      <c r="K19" s="47"/>
      <c r="L19" s="361">
        <v>1858039.76</v>
      </c>
      <c r="M19" s="47"/>
      <c r="N19" s="47"/>
      <c r="O19" s="47"/>
      <c r="P19" s="47"/>
      <c r="Q19" s="47"/>
      <c r="R19" s="47"/>
      <c r="S19" s="55">
        <f t="shared" si="2"/>
        <v>7.4321590399999984E-2</v>
      </c>
    </row>
    <row r="20" spans="1:20" hidden="1" x14ac:dyDescent="0.25">
      <c r="A20" s="2" t="s">
        <v>17</v>
      </c>
      <c r="B20" s="2" t="s">
        <v>37</v>
      </c>
      <c r="C20" s="2" t="s">
        <v>38</v>
      </c>
      <c r="D20" s="36">
        <f t="shared" si="1"/>
        <v>0</v>
      </c>
      <c r="E20" s="48"/>
      <c r="F20" s="47"/>
      <c r="G20" s="47"/>
      <c r="H20" s="47"/>
      <c r="I20" s="47"/>
      <c r="J20" s="47"/>
      <c r="K20" s="47"/>
      <c r="L20" s="47"/>
      <c r="M20" s="47"/>
      <c r="N20" s="47"/>
      <c r="O20" s="47"/>
      <c r="P20" s="47"/>
      <c r="Q20" s="47"/>
      <c r="R20" s="47"/>
      <c r="S20" s="55">
        <f t="shared" si="2"/>
        <v>0</v>
      </c>
    </row>
    <row r="21" spans="1:20" x14ac:dyDescent="0.25">
      <c r="A21" s="2" t="s">
        <v>18</v>
      </c>
      <c r="B21" s="107" t="s">
        <v>587</v>
      </c>
      <c r="C21" s="56" t="s">
        <v>32</v>
      </c>
      <c r="D21" s="36">
        <f t="shared" si="1"/>
        <v>825384.37</v>
      </c>
      <c r="E21" s="48"/>
      <c r="F21" s="47"/>
      <c r="G21" s="47"/>
      <c r="H21" s="47"/>
      <c r="I21" s="47"/>
      <c r="J21" s="47"/>
      <c r="K21" s="47"/>
      <c r="L21" s="47"/>
      <c r="M21" s="361">
        <v>825384.37</v>
      </c>
      <c r="N21" s="47"/>
      <c r="O21" s="47"/>
      <c r="P21" s="47"/>
      <c r="Q21" s="47"/>
      <c r="R21" s="47"/>
      <c r="S21" s="55">
        <f t="shared" si="2"/>
        <v>3.3015374799999997E-2</v>
      </c>
    </row>
    <row r="22" spans="1:20" hidden="1" x14ac:dyDescent="0.25">
      <c r="A22" s="56" t="s">
        <v>18</v>
      </c>
      <c r="B22" s="56" t="s">
        <v>80</v>
      </c>
      <c r="C22" s="56" t="s">
        <v>36</v>
      </c>
      <c r="D22" s="36">
        <f t="shared" si="1"/>
        <v>0</v>
      </c>
      <c r="E22" s="48"/>
      <c r="F22" s="47"/>
      <c r="G22" s="47"/>
      <c r="H22" s="47"/>
      <c r="I22" s="47"/>
      <c r="J22" s="47"/>
      <c r="K22" s="47"/>
      <c r="L22" s="47"/>
      <c r="M22" s="47"/>
      <c r="N22" s="47"/>
      <c r="O22" s="47"/>
      <c r="P22" s="47"/>
      <c r="Q22" s="47"/>
      <c r="R22" s="47"/>
      <c r="S22" s="55">
        <f t="shared" si="2"/>
        <v>0</v>
      </c>
    </row>
    <row r="23" spans="1:20" x14ac:dyDescent="0.25">
      <c r="A23" s="2" t="s">
        <v>19</v>
      </c>
      <c r="B23" s="107" t="s">
        <v>169</v>
      </c>
      <c r="C23" s="56" t="s">
        <v>32</v>
      </c>
      <c r="D23" s="36">
        <f t="shared" si="1"/>
        <v>1562692.73</v>
      </c>
      <c r="E23" s="48"/>
      <c r="F23" s="47"/>
      <c r="G23" s="47"/>
      <c r="H23" s="47"/>
      <c r="I23" s="47"/>
      <c r="J23" s="47"/>
      <c r="K23" s="47"/>
      <c r="L23" s="47"/>
      <c r="M23" s="47"/>
      <c r="N23" s="361">
        <v>1562692.73</v>
      </c>
      <c r="O23" s="47"/>
      <c r="P23" s="47"/>
      <c r="Q23" s="47"/>
      <c r="R23" s="47"/>
      <c r="S23" s="55">
        <f t="shared" si="2"/>
        <v>6.2507709199999983E-2</v>
      </c>
    </row>
    <row r="24" spans="1:20" x14ac:dyDescent="0.25">
      <c r="A24" s="2" t="s">
        <v>20</v>
      </c>
      <c r="B24" s="107" t="s">
        <v>125</v>
      </c>
      <c r="C24" s="56" t="s">
        <v>32</v>
      </c>
      <c r="D24" s="36">
        <f t="shared" si="1"/>
        <v>884066.11</v>
      </c>
      <c r="E24" s="48"/>
      <c r="F24" s="47"/>
      <c r="G24" s="47"/>
      <c r="H24" s="47"/>
      <c r="I24" s="47"/>
      <c r="J24" s="47"/>
      <c r="K24" s="47"/>
      <c r="L24" s="47"/>
      <c r="M24" s="47"/>
      <c r="N24" s="47"/>
      <c r="O24" s="361">
        <v>884066.11</v>
      </c>
      <c r="P24" s="47"/>
      <c r="Q24" s="47"/>
      <c r="R24" s="47"/>
      <c r="S24" s="55">
        <f t="shared" si="2"/>
        <v>3.5362644399999997E-2</v>
      </c>
    </row>
    <row r="25" spans="1:20" hidden="1" x14ac:dyDescent="0.25">
      <c r="A25" s="2" t="s">
        <v>20</v>
      </c>
      <c r="B25" s="2" t="s">
        <v>33</v>
      </c>
      <c r="C25" s="2" t="s">
        <v>35</v>
      </c>
      <c r="D25" s="36">
        <f t="shared" si="1"/>
        <v>0</v>
      </c>
      <c r="E25" s="48"/>
      <c r="F25" s="47"/>
      <c r="G25" s="47"/>
      <c r="H25" s="47"/>
      <c r="I25" s="47"/>
      <c r="J25" s="47"/>
      <c r="K25" s="47"/>
      <c r="L25" s="47"/>
      <c r="M25" s="47"/>
      <c r="N25" s="47"/>
      <c r="O25" s="47"/>
      <c r="P25" s="47"/>
      <c r="Q25" s="47"/>
      <c r="R25" s="47"/>
      <c r="S25" s="55">
        <f t="shared" si="2"/>
        <v>0</v>
      </c>
    </row>
    <row r="26" spans="1:20" x14ac:dyDescent="0.25">
      <c r="A26" s="2" t="s">
        <v>21</v>
      </c>
      <c r="B26" s="107" t="s">
        <v>513</v>
      </c>
      <c r="C26" s="56" t="s">
        <v>32</v>
      </c>
      <c r="D26" s="36">
        <f t="shared" si="1"/>
        <v>671370.52</v>
      </c>
      <c r="E26" s="48"/>
      <c r="F26" s="47"/>
      <c r="G26" s="47"/>
      <c r="H26" s="47"/>
      <c r="I26" s="47"/>
      <c r="J26" s="47"/>
      <c r="K26" s="47"/>
      <c r="L26" s="47"/>
      <c r="M26" s="47"/>
      <c r="N26" s="47"/>
      <c r="O26" s="47"/>
      <c r="P26" s="361">
        <v>671370.52</v>
      </c>
      <c r="Q26" s="47"/>
      <c r="R26" s="47"/>
      <c r="S26" s="55">
        <f t="shared" si="2"/>
        <v>2.6854820799999998E-2</v>
      </c>
    </row>
    <row r="27" spans="1:20" x14ac:dyDescent="0.25">
      <c r="A27" s="2" t="s">
        <v>22</v>
      </c>
      <c r="B27" s="107" t="s">
        <v>127</v>
      </c>
      <c r="C27" s="56" t="s">
        <v>32</v>
      </c>
      <c r="D27" s="36">
        <f>SUM(E27:R27)</f>
        <v>142377.64000000001</v>
      </c>
      <c r="E27" s="48"/>
      <c r="F27" s="47"/>
      <c r="G27" s="47"/>
      <c r="H27" s="47"/>
      <c r="I27" s="47"/>
      <c r="J27" s="47"/>
      <c r="K27" s="47"/>
      <c r="L27" s="47"/>
      <c r="M27" s="47"/>
      <c r="N27" s="47"/>
      <c r="O27" s="47"/>
      <c r="P27" s="47"/>
      <c r="Q27" s="361">
        <v>142377.64000000001</v>
      </c>
      <c r="R27" s="47"/>
      <c r="S27" s="55">
        <f t="shared" si="2"/>
        <v>5.6951056E-3</v>
      </c>
    </row>
    <row r="28" spans="1:20" ht="13.8" thickBot="1" x14ac:dyDescent="0.3">
      <c r="A28" s="94"/>
      <c r="B28" s="95"/>
      <c r="C28" s="102" t="s">
        <v>97</v>
      </c>
      <c r="D28" s="96">
        <f>SUM(E28:R28)</f>
        <v>0</v>
      </c>
      <c r="E28" s="97"/>
      <c r="F28" s="98"/>
      <c r="G28" s="98"/>
      <c r="H28" s="98"/>
      <c r="I28" s="98"/>
      <c r="J28" s="98"/>
      <c r="K28" s="98"/>
      <c r="L28" s="98"/>
      <c r="M28" s="98"/>
      <c r="N28" s="98"/>
      <c r="O28" s="98"/>
      <c r="P28" s="98"/>
      <c r="Q28" s="98"/>
      <c r="R28" s="98"/>
      <c r="S28" s="310"/>
    </row>
    <row r="29" spans="1:20" x14ac:dyDescent="0.25">
      <c r="A29" s="56" t="s">
        <v>472</v>
      </c>
      <c r="B29" s="2"/>
      <c r="C29" s="2"/>
      <c r="D29" s="47"/>
      <c r="E29" s="47"/>
      <c r="F29" s="47"/>
      <c r="G29" s="47"/>
      <c r="H29" s="47"/>
      <c r="I29" s="47"/>
      <c r="J29" s="47"/>
      <c r="K29" s="47"/>
      <c r="L29" s="47"/>
      <c r="M29" s="47"/>
      <c r="N29" s="47"/>
      <c r="O29" s="47"/>
      <c r="P29" s="47"/>
      <c r="Q29" s="47"/>
      <c r="R29" s="47"/>
    </row>
    <row r="30" spans="1:20" x14ac:dyDescent="0.25">
      <c r="A30" s="56" t="s">
        <v>11</v>
      </c>
      <c r="B30" s="365" t="s">
        <v>588</v>
      </c>
      <c r="C30" s="56" t="s">
        <v>32</v>
      </c>
      <c r="D30" s="36">
        <f t="shared" ref="D30:D43" si="3">SUM(E30:R30)</f>
        <v>7771501.1800000034</v>
      </c>
      <c r="E30" s="360">
        <f>D121+D143+D164+D195+D216+D237+D261+D280+D300+D321+D343+D364+D381+D404+D426-E13+2253426.81</f>
        <v>7771501.1800000034</v>
      </c>
      <c r="F30" s="47"/>
      <c r="G30" s="47"/>
      <c r="H30" s="47"/>
      <c r="I30" s="47"/>
      <c r="J30" s="47"/>
      <c r="K30" s="47"/>
      <c r="L30" s="47"/>
      <c r="M30" s="47"/>
      <c r="N30" s="47"/>
      <c r="O30" s="47"/>
      <c r="P30" s="47"/>
      <c r="Q30" s="47"/>
      <c r="R30" s="47"/>
      <c r="S30" s="359">
        <f>D30/$D$9</f>
        <v>0.19402936944634963</v>
      </c>
      <c r="T30" s="123" t="s">
        <v>581</v>
      </c>
    </row>
    <row r="31" spans="1:20" x14ac:dyDescent="0.25">
      <c r="A31" s="2" t="s">
        <v>12</v>
      </c>
      <c r="B31" s="107" t="s">
        <v>584</v>
      </c>
      <c r="C31" s="56" t="s">
        <v>32</v>
      </c>
      <c r="D31" s="36">
        <f t="shared" si="3"/>
        <v>5174683.0700000031</v>
      </c>
      <c r="E31" s="48"/>
      <c r="F31" s="360">
        <f>D122+D144+D165+D196+D217+D238+D262+D281+D301+D322+D344+D365+D382+D405+D427+D393+D416-F14</f>
        <v>5174683.0700000031</v>
      </c>
      <c r="G31" s="47"/>
      <c r="H31" s="47"/>
      <c r="I31" s="47"/>
      <c r="J31" s="47"/>
      <c r="K31" s="47"/>
      <c r="L31" s="47"/>
      <c r="M31" s="47"/>
      <c r="N31" s="47"/>
      <c r="O31" s="47"/>
      <c r="P31" s="47"/>
      <c r="Q31" s="47"/>
      <c r="R31" s="47"/>
      <c r="S31" s="8">
        <f t="shared" ref="S31:S44" si="4">D31/$D$9</f>
        <v>0.12919517991462248</v>
      </c>
    </row>
    <row r="32" spans="1:20" x14ac:dyDescent="0.25">
      <c r="A32" s="2" t="s">
        <v>14</v>
      </c>
      <c r="B32" s="365" t="s">
        <v>583</v>
      </c>
      <c r="C32" s="56" t="s">
        <v>32</v>
      </c>
      <c r="D32" s="36">
        <f t="shared" si="3"/>
        <v>1692070.63</v>
      </c>
      <c r="E32" s="48"/>
      <c r="F32" s="48"/>
      <c r="G32" s="47"/>
      <c r="H32" s="360">
        <f>D123+D145+D166+D197+D218+D228+D239+D251+D263+D273+D282+D302+D323+D345+D355+D366+D383+D406+D429-H15+D176</f>
        <v>1692070.63</v>
      </c>
      <c r="I32" s="47"/>
      <c r="J32" s="47"/>
      <c r="K32" s="47"/>
      <c r="L32" s="47"/>
      <c r="M32" s="47"/>
      <c r="N32" s="47"/>
      <c r="O32" s="47"/>
      <c r="P32" s="47"/>
      <c r="Q32" s="47"/>
      <c r="R32" s="47"/>
      <c r="S32" s="8">
        <f t="shared" si="4"/>
        <v>4.2245557170151188E-2</v>
      </c>
    </row>
    <row r="33" spans="1:20" x14ac:dyDescent="0.25">
      <c r="A33" s="2" t="s">
        <v>15</v>
      </c>
      <c r="B33" s="365" t="s">
        <v>508</v>
      </c>
      <c r="C33" s="56" t="s">
        <v>32</v>
      </c>
      <c r="D33" s="36">
        <f>SUM(E33:R33)</f>
        <v>2390187.0599999996</v>
      </c>
      <c r="E33" s="48"/>
      <c r="F33" s="48"/>
      <c r="G33" s="47"/>
      <c r="H33" s="48"/>
      <c r="I33" s="360">
        <f>D124+D146+D167+D198+D219+D240+D264+D283+D303+D324+D346+D367+D384+D394+D407+D430-I16</f>
        <v>2390187.0599999996</v>
      </c>
      <c r="J33" s="47"/>
      <c r="K33" s="47"/>
      <c r="L33" s="47"/>
      <c r="M33" s="47"/>
      <c r="N33" s="47"/>
      <c r="O33" s="47"/>
      <c r="P33" s="47"/>
      <c r="Q33" s="47"/>
      <c r="R33" s="47"/>
      <c r="S33" s="8">
        <f t="shared" si="4"/>
        <v>5.9675277320182303E-2</v>
      </c>
    </row>
    <row r="34" spans="1:20" x14ac:dyDescent="0.25">
      <c r="A34" s="2" t="s">
        <v>16</v>
      </c>
      <c r="B34" s="56"/>
      <c r="C34" s="56" t="s">
        <v>32</v>
      </c>
      <c r="D34" s="36">
        <f t="shared" si="3"/>
        <v>0</v>
      </c>
      <c r="E34" s="48"/>
      <c r="F34" s="48"/>
      <c r="G34" s="47"/>
      <c r="H34" s="48"/>
      <c r="I34" s="47"/>
      <c r="J34" s="360">
        <f>D125+D147+D168+D199+D220+D241+D265+D284+D304+D325+D334+D347+D368+D385+D395+D408+D417+D418+D431-J17+D396</f>
        <v>0</v>
      </c>
      <c r="K34" s="48"/>
      <c r="L34" s="47"/>
      <c r="M34" s="47"/>
      <c r="N34" s="47"/>
      <c r="O34" s="47"/>
      <c r="P34" s="47"/>
      <c r="Q34" s="47"/>
      <c r="R34" s="47"/>
      <c r="S34" s="8">
        <f t="shared" si="4"/>
        <v>0</v>
      </c>
    </row>
    <row r="35" spans="1:20" x14ac:dyDescent="0.25">
      <c r="A35" s="2" t="s">
        <v>56</v>
      </c>
      <c r="B35" s="107" t="s">
        <v>53</v>
      </c>
      <c r="C35" s="56" t="s">
        <v>36</v>
      </c>
      <c r="D35" s="36">
        <f t="shared" si="3"/>
        <v>27571.599999999999</v>
      </c>
      <c r="E35" s="48"/>
      <c r="F35" s="48"/>
      <c r="G35" s="47"/>
      <c r="H35" s="48"/>
      <c r="I35" s="47"/>
      <c r="J35" s="48"/>
      <c r="K35" s="360">
        <f>D133+D134+D135+D154+D155+D156+D157+D175+D229+D250+D248+D272+D291+D311+D313+D332+D354+D392+D415+D438-K18+D252+D177+D253</f>
        <v>27571.599999999999</v>
      </c>
      <c r="L35" s="47"/>
      <c r="M35" s="47"/>
      <c r="N35" s="47"/>
      <c r="O35" s="47"/>
      <c r="P35" s="47"/>
      <c r="Q35" s="47"/>
      <c r="R35" s="47"/>
      <c r="S35" s="8">
        <f t="shared" si="4"/>
        <v>6.883741041427689E-4</v>
      </c>
    </row>
    <row r="36" spans="1:20" x14ac:dyDescent="0.25">
      <c r="A36" s="2" t="s">
        <v>17</v>
      </c>
      <c r="B36" s="365" t="s">
        <v>589</v>
      </c>
      <c r="C36" s="56" t="s">
        <v>32</v>
      </c>
      <c r="D36" s="36">
        <f t="shared" si="3"/>
        <v>732924.98000000021</v>
      </c>
      <c r="E36" s="48"/>
      <c r="F36" s="48"/>
      <c r="G36" s="47"/>
      <c r="H36" s="48"/>
      <c r="I36" s="47"/>
      <c r="J36" s="48"/>
      <c r="K36" s="48"/>
      <c r="L36" s="360">
        <f>D126+D148+D169+D200+D221+D242+D266+D285+D305+D326+D348+D369+D386+D409+D440+D432-L19</f>
        <v>732924.98000000021</v>
      </c>
      <c r="M36" s="47"/>
      <c r="N36" s="47"/>
      <c r="O36" s="47"/>
      <c r="P36" s="47"/>
      <c r="Q36" s="47"/>
      <c r="R36" s="47"/>
      <c r="S36" s="8">
        <f t="shared" si="4"/>
        <v>1.8298777601276565E-2</v>
      </c>
    </row>
    <row r="37" spans="1:20" hidden="1" x14ac:dyDescent="0.25">
      <c r="A37" s="2" t="s">
        <v>17</v>
      </c>
      <c r="B37" s="2" t="s">
        <v>37</v>
      </c>
      <c r="C37" s="2" t="s">
        <v>38</v>
      </c>
      <c r="D37" s="36">
        <f t="shared" si="3"/>
        <v>0</v>
      </c>
      <c r="E37" s="48"/>
      <c r="F37" s="47"/>
      <c r="G37" s="47"/>
      <c r="H37" s="47"/>
      <c r="I37" s="47"/>
      <c r="J37" s="47"/>
      <c r="K37" s="47"/>
      <c r="L37" s="48"/>
      <c r="M37" s="47"/>
      <c r="N37" s="47"/>
      <c r="O37" s="47"/>
      <c r="P37" s="47"/>
      <c r="Q37" s="47"/>
      <c r="R37" s="47"/>
      <c r="S37" s="8">
        <f t="shared" si="4"/>
        <v>0</v>
      </c>
    </row>
    <row r="38" spans="1:20" x14ac:dyDescent="0.25">
      <c r="A38" s="2" t="s">
        <v>18</v>
      </c>
      <c r="B38" s="107" t="s">
        <v>590</v>
      </c>
      <c r="C38" s="56" t="s">
        <v>32</v>
      </c>
      <c r="D38" s="36">
        <f t="shared" si="3"/>
        <v>256960.00000000012</v>
      </c>
      <c r="E38" s="48"/>
      <c r="F38" s="47"/>
      <c r="G38" s="47"/>
      <c r="H38" s="47"/>
      <c r="I38" s="47"/>
      <c r="J38" s="47"/>
      <c r="K38" s="47"/>
      <c r="L38" s="48"/>
      <c r="M38" s="360">
        <f>D127+D149+D170+D201+D222+D243+D267+D286+D306+D312+D327+D333+D349+D370+D387+D397+D410+D433+D441+D442-M21</f>
        <v>256960.00000000012</v>
      </c>
      <c r="N38" s="47"/>
      <c r="O38" s="47"/>
      <c r="P38" s="47"/>
      <c r="Q38" s="47"/>
      <c r="R38" s="47"/>
      <c r="S38" s="8">
        <f t="shared" si="4"/>
        <v>6.4154640935065784E-3</v>
      </c>
    </row>
    <row r="39" spans="1:20" hidden="1" x14ac:dyDescent="0.25">
      <c r="A39" s="56" t="s">
        <v>18</v>
      </c>
      <c r="B39" s="56" t="s">
        <v>80</v>
      </c>
      <c r="C39" s="56" t="s">
        <v>36</v>
      </c>
      <c r="D39" s="36">
        <f t="shared" si="3"/>
        <v>0</v>
      </c>
      <c r="E39" s="48"/>
      <c r="F39" s="47"/>
      <c r="G39" s="47"/>
      <c r="H39" s="47"/>
      <c r="I39" s="47"/>
      <c r="J39" s="47"/>
      <c r="K39" s="47"/>
      <c r="L39" s="48"/>
      <c r="M39" s="48"/>
      <c r="N39" s="47"/>
      <c r="O39" s="47"/>
      <c r="P39" s="47"/>
      <c r="Q39" s="47"/>
      <c r="R39" s="47"/>
      <c r="S39" s="8">
        <f t="shared" si="4"/>
        <v>0</v>
      </c>
    </row>
    <row r="40" spans="1:20" x14ac:dyDescent="0.25">
      <c r="A40" s="2" t="s">
        <v>19</v>
      </c>
      <c r="B40" s="107" t="s">
        <v>505</v>
      </c>
      <c r="C40" s="56" t="s">
        <v>32</v>
      </c>
      <c r="D40" s="36">
        <f t="shared" si="3"/>
        <v>304569.35000000033</v>
      </c>
      <c r="E40" s="48"/>
      <c r="F40" s="47"/>
      <c r="G40" s="47"/>
      <c r="H40" s="47"/>
      <c r="I40" s="47"/>
      <c r="J40" s="47"/>
      <c r="K40" s="47"/>
      <c r="L40" s="48"/>
      <c r="M40" s="48"/>
      <c r="N40" s="360">
        <f>D128+D150+D171+D202+D223+D244+D268+D287+D307+D328+D350+D371+D388+D411+D434+D443+D444-N23</f>
        <v>304569.35000000033</v>
      </c>
      <c r="O40" s="47"/>
      <c r="P40" s="47"/>
      <c r="Q40" s="47"/>
      <c r="R40" s="47"/>
      <c r="S40" s="8">
        <f t="shared" si="4"/>
        <v>7.6041163173553826E-3</v>
      </c>
    </row>
    <row r="41" spans="1:20" x14ac:dyDescent="0.25">
      <c r="A41" s="2" t="s">
        <v>20</v>
      </c>
      <c r="B41" s="107" t="s">
        <v>591</v>
      </c>
      <c r="C41" s="56" t="s">
        <v>32</v>
      </c>
      <c r="D41" s="36">
        <f t="shared" si="3"/>
        <v>350447.83999999997</v>
      </c>
      <c r="E41" s="48"/>
      <c r="F41" s="47"/>
      <c r="G41" s="47"/>
      <c r="H41" s="47"/>
      <c r="I41" s="47"/>
      <c r="J41" s="47"/>
      <c r="K41" s="47"/>
      <c r="L41" s="48"/>
      <c r="M41" s="48"/>
      <c r="N41" s="48"/>
      <c r="O41" s="360">
        <f>D129+D151+D172+D203+D224+D245+D269+D288+D308+D329+D351+D372+D389+D412+D435-O24</f>
        <v>350447.83999999997</v>
      </c>
      <c r="P41" s="47"/>
      <c r="Q41" s="47"/>
      <c r="R41" s="47"/>
      <c r="S41" s="8">
        <f t="shared" si="4"/>
        <v>8.7495545383208945E-3</v>
      </c>
    </row>
    <row r="42" spans="1:20" hidden="1" x14ac:dyDescent="0.25">
      <c r="A42" s="2" t="s">
        <v>20</v>
      </c>
      <c r="B42" s="2" t="s">
        <v>33</v>
      </c>
      <c r="C42" s="2" t="s">
        <v>35</v>
      </c>
      <c r="D42" s="36">
        <f t="shared" si="3"/>
        <v>0</v>
      </c>
      <c r="E42" s="48"/>
      <c r="F42" s="47"/>
      <c r="G42" s="47"/>
      <c r="H42" s="47"/>
      <c r="I42" s="47"/>
      <c r="J42" s="47"/>
      <c r="K42" s="47"/>
      <c r="L42" s="48"/>
      <c r="M42" s="48"/>
      <c r="N42" s="48"/>
      <c r="O42" s="48"/>
      <c r="P42" s="47"/>
      <c r="Q42" s="47"/>
      <c r="R42" s="47"/>
      <c r="S42" s="8">
        <f t="shared" si="4"/>
        <v>0</v>
      </c>
    </row>
    <row r="43" spans="1:20" x14ac:dyDescent="0.25">
      <c r="A43" s="2" t="s">
        <v>21</v>
      </c>
      <c r="B43" s="107" t="s">
        <v>512</v>
      </c>
      <c r="C43" s="56" t="s">
        <v>32</v>
      </c>
      <c r="D43" s="36">
        <f t="shared" si="3"/>
        <v>2325091.2899999996</v>
      </c>
      <c r="E43" s="48"/>
      <c r="F43" s="47"/>
      <c r="G43" s="47"/>
      <c r="H43" s="47"/>
      <c r="I43" s="47"/>
      <c r="J43" s="47"/>
      <c r="K43" s="47"/>
      <c r="L43" s="48"/>
      <c r="M43" s="48"/>
      <c r="N43" s="48"/>
      <c r="O43" s="47"/>
      <c r="P43" s="360">
        <f>D130+D152+D173+D204+D225+D246+D270+D289+D309+D330+D352+D373+D390+D413+D436-P26</f>
        <v>2325091.2899999996</v>
      </c>
      <c r="Q43" s="47"/>
      <c r="R43" s="47"/>
      <c r="S43" s="8">
        <f t="shared" si="4"/>
        <v>5.8050045474470277E-2</v>
      </c>
    </row>
    <row r="44" spans="1:20" x14ac:dyDescent="0.25">
      <c r="A44" s="2" t="s">
        <v>22</v>
      </c>
      <c r="B44" s="107" t="s">
        <v>592</v>
      </c>
      <c r="C44" s="56" t="s">
        <v>32</v>
      </c>
      <c r="D44" s="36">
        <f>SUM(E44:R44)</f>
        <v>505305.56999999995</v>
      </c>
      <c r="E44" s="48"/>
      <c r="F44" s="47"/>
      <c r="G44" s="47"/>
      <c r="H44" s="47"/>
      <c r="I44" s="47"/>
      <c r="J44" s="47"/>
      <c r="K44" s="47"/>
      <c r="L44" s="48"/>
      <c r="M44" s="48"/>
      <c r="N44" s="48"/>
      <c r="O44" s="47"/>
      <c r="P44" s="48"/>
      <c r="Q44" s="360">
        <f>D131+D153+D174+D205+D226+D247+D271+D290+D310+D331+D353+D374+D391+D414+D437-Q27</f>
        <v>505305.56999999995</v>
      </c>
      <c r="R44" s="48"/>
      <c r="S44" s="8">
        <f t="shared" si="4"/>
        <v>1.2615853598162644E-2</v>
      </c>
      <c r="T44" s="8"/>
    </row>
    <row r="45" spans="1:20" x14ac:dyDescent="0.25">
      <c r="A45" s="76"/>
      <c r="B45" s="76"/>
      <c r="C45" s="313"/>
      <c r="D45" s="49"/>
      <c r="E45" s="77"/>
      <c r="F45" s="78"/>
      <c r="G45" s="78"/>
      <c r="H45" s="78"/>
      <c r="I45" s="78"/>
      <c r="J45" s="78"/>
      <c r="K45" s="78"/>
      <c r="L45" s="78"/>
      <c r="M45" s="78"/>
      <c r="N45" s="78"/>
      <c r="O45" s="78"/>
      <c r="P45" s="78"/>
      <c r="Q45" s="78"/>
      <c r="R45" s="78"/>
      <c r="S45" s="50"/>
    </row>
    <row r="46" spans="1:20" x14ac:dyDescent="0.25">
      <c r="A46" s="56" t="s">
        <v>467</v>
      </c>
      <c r="B46" s="56"/>
      <c r="C46" s="56"/>
      <c r="E46" s="48"/>
      <c r="F46" s="47"/>
      <c r="G46" s="47"/>
      <c r="H46" s="47"/>
      <c r="I46" s="47"/>
      <c r="J46" s="47"/>
      <c r="K46" s="47"/>
      <c r="L46" s="47"/>
      <c r="M46" s="47"/>
      <c r="N46" s="47"/>
      <c r="O46" s="47"/>
      <c r="P46" s="47"/>
      <c r="Q46" s="47"/>
      <c r="R46" s="47"/>
    </row>
    <row r="47" spans="1:20" x14ac:dyDescent="0.25">
      <c r="A47" s="56" t="s">
        <v>11</v>
      </c>
      <c r="B47" s="107" t="s">
        <v>585</v>
      </c>
      <c r="C47" s="56" t="s">
        <v>34</v>
      </c>
      <c r="D47" s="36">
        <f>SUM(E47:Q47)</f>
        <v>3642668.6</v>
      </c>
      <c r="E47" s="360">
        <f>D119+D140+D162+D191+D296+D318+D340+D360</f>
        <v>3642668.6</v>
      </c>
      <c r="F47" s="47"/>
      <c r="G47" s="47"/>
      <c r="H47" s="47"/>
      <c r="I47" s="47"/>
      <c r="J47" s="47"/>
      <c r="K47" s="47"/>
      <c r="L47" s="47"/>
      <c r="M47" s="47"/>
      <c r="N47" s="47"/>
      <c r="O47" s="47"/>
      <c r="P47" s="47"/>
      <c r="Q47" s="47"/>
      <c r="R47" s="47"/>
      <c r="S47" s="359">
        <f>D47/$D$9</f>
        <v>9.0945709868632735E-2</v>
      </c>
      <c r="T47" s="123" t="s">
        <v>581</v>
      </c>
    </row>
    <row r="48" spans="1:20" x14ac:dyDescent="0.25">
      <c r="A48" s="56" t="s">
        <v>11</v>
      </c>
      <c r="B48" s="56" t="s">
        <v>100</v>
      </c>
      <c r="C48" s="56" t="s">
        <v>101</v>
      </c>
      <c r="D48" s="36">
        <f t="shared" ref="D48:D75" si="5">SUM(E48:Q48)</f>
        <v>0</v>
      </c>
      <c r="E48" s="48"/>
      <c r="F48" s="47"/>
      <c r="G48" s="47"/>
      <c r="H48" s="47"/>
      <c r="I48" s="47"/>
      <c r="J48" s="47"/>
      <c r="K48" s="47"/>
      <c r="L48" s="47"/>
      <c r="M48" s="47"/>
      <c r="N48" s="47"/>
      <c r="O48" s="47"/>
      <c r="P48" s="47"/>
      <c r="Q48" s="47"/>
      <c r="R48" s="47"/>
      <c r="S48" s="8">
        <f t="shared" ref="S48:S78" si="6">D48/$D$9</f>
        <v>0</v>
      </c>
    </row>
    <row r="49" spans="1:20" hidden="1" x14ac:dyDescent="0.25">
      <c r="A49" s="56" t="s">
        <v>11</v>
      </c>
      <c r="B49" s="56"/>
      <c r="C49" s="56"/>
      <c r="D49" s="36">
        <f t="shared" si="5"/>
        <v>0</v>
      </c>
      <c r="E49" s="48"/>
      <c r="F49" s="47"/>
      <c r="G49" s="47"/>
      <c r="H49" s="47"/>
      <c r="I49" s="47"/>
      <c r="J49" s="47"/>
      <c r="K49" s="47"/>
      <c r="L49" s="47"/>
      <c r="M49" s="47"/>
      <c r="N49" s="47"/>
      <c r="O49" s="47"/>
      <c r="P49" s="47"/>
      <c r="Q49" s="47"/>
      <c r="R49" s="47"/>
      <c r="S49" s="8">
        <f t="shared" si="6"/>
        <v>0</v>
      </c>
    </row>
    <row r="50" spans="1:20" hidden="1" x14ac:dyDescent="0.25">
      <c r="A50" s="2" t="s">
        <v>12</v>
      </c>
      <c r="B50" s="56" t="s">
        <v>39</v>
      </c>
      <c r="C50" s="2" t="s">
        <v>36</v>
      </c>
      <c r="D50" s="36">
        <f t="shared" si="5"/>
        <v>0</v>
      </c>
      <c r="E50" s="48"/>
      <c r="F50" s="48"/>
      <c r="G50" s="48"/>
      <c r="H50" s="47"/>
      <c r="I50" s="47"/>
      <c r="J50" s="47"/>
      <c r="K50" s="47"/>
      <c r="L50" s="47"/>
      <c r="M50" s="47"/>
      <c r="N50" s="47"/>
      <c r="O50" s="47"/>
      <c r="P50" s="47"/>
      <c r="Q50" s="47"/>
      <c r="R50" s="47"/>
      <c r="S50" s="8">
        <f t="shared" si="6"/>
        <v>0</v>
      </c>
    </row>
    <row r="51" spans="1:20" hidden="1" x14ac:dyDescent="0.25">
      <c r="A51" s="2" t="s">
        <v>13</v>
      </c>
      <c r="B51" s="56" t="s">
        <v>40</v>
      </c>
      <c r="C51" s="2" t="s">
        <v>36</v>
      </c>
      <c r="D51" s="36">
        <f t="shared" si="5"/>
        <v>0</v>
      </c>
      <c r="E51" s="48"/>
      <c r="F51" s="48"/>
      <c r="G51" s="48"/>
      <c r="H51" s="47"/>
      <c r="I51" s="47"/>
      <c r="J51" s="47"/>
      <c r="K51" s="47"/>
      <c r="L51" s="47"/>
      <c r="M51" s="47"/>
      <c r="N51" s="47"/>
      <c r="O51" s="47"/>
      <c r="P51" s="47"/>
      <c r="Q51" s="47"/>
      <c r="R51" s="47"/>
      <c r="S51" s="8">
        <f t="shared" si="6"/>
        <v>0</v>
      </c>
    </row>
    <row r="52" spans="1:20" x14ac:dyDescent="0.25">
      <c r="A52" s="2" t="s">
        <v>14</v>
      </c>
      <c r="B52" s="107" t="s">
        <v>54</v>
      </c>
      <c r="C52" s="56" t="s">
        <v>59</v>
      </c>
      <c r="D52" s="36">
        <f>SUM(E52:Q52)</f>
        <v>1058687.83</v>
      </c>
      <c r="E52" s="48"/>
      <c r="F52" s="48"/>
      <c r="G52" s="47"/>
      <c r="H52" s="360">
        <f>D210</f>
        <v>1058687.83</v>
      </c>
      <c r="I52" s="47"/>
      <c r="J52" s="47"/>
      <c r="K52" s="47"/>
      <c r="L52" s="47"/>
      <c r="M52" s="47"/>
      <c r="N52" s="47"/>
      <c r="O52" s="47"/>
      <c r="P52" s="47"/>
      <c r="Q52" s="47"/>
      <c r="R52" s="47"/>
      <c r="S52" s="8">
        <f t="shared" si="6"/>
        <v>2.6432027395693471E-2</v>
      </c>
    </row>
    <row r="53" spans="1:20" x14ac:dyDescent="0.25">
      <c r="A53" s="56" t="s">
        <v>14</v>
      </c>
      <c r="B53" s="107" t="s">
        <v>84</v>
      </c>
      <c r="C53" s="56" t="s">
        <v>55</v>
      </c>
      <c r="D53" s="36">
        <f>SUM(E53:Q53)</f>
        <v>1753596.6299999994</v>
      </c>
      <c r="E53" s="48"/>
      <c r="F53" s="48"/>
      <c r="G53" s="47"/>
      <c r="H53" s="360">
        <f>D141+D192</f>
        <v>1753596.6299999994</v>
      </c>
      <c r="I53" s="47"/>
      <c r="J53" s="47"/>
      <c r="K53" s="47"/>
      <c r="L53" s="47"/>
      <c r="M53" s="47"/>
      <c r="N53" s="47"/>
      <c r="O53" s="47"/>
      <c r="P53" s="47"/>
      <c r="Q53" s="47"/>
      <c r="R53" s="47"/>
      <c r="S53" s="8">
        <f t="shared" si="6"/>
        <v>4.3781663349389523E-2</v>
      </c>
    </row>
    <row r="54" spans="1:20" x14ac:dyDescent="0.25">
      <c r="A54" s="56" t="s">
        <v>78</v>
      </c>
      <c r="B54" s="56" t="s">
        <v>57</v>
      </c>
      <c r="C54" s="56" t="s">
        <v>79</v>
      </c>
      <c r="D54" s="36">
        <f t="shared" si="5"/>
        <v>0</v>
      </c>
      <c r="E54" s="48"/>
      <c r="F54" s="48"/>
      <c r="G54" s="47"/>
      <c r="H54" s="48"/>
      <c r="I54" s="48">
        <f>D361</f>
        <v>0</v>
      </c>
      <c r="J54" s="47"/>
      <c r="K54" s="47"/>
      <c r="L54" s="47"/>
      <c r="M54" s="47"/>
      <c r="N54" s="47"/>
      <c r="O54" s="47"/>
      <c r="P54" s="47"/>
      <c r="Q54" s="47"/>
      <c r="R54" s="47"/>
      <c r="S54" s="8">
        <f t="shared" si="6"/>
        <v>0</v>
      </c>
    </row>
    <row r="55" spans="1:20" x14ac:dyDescent="0.25">
      <c r="A55" s="56" t="s">
        <v>15</v>
      </c>
      <c r="B55" s="107" t="s">
        <v>53</v>
      </c>
      <c r="C55" s="56" t="s">
        <v>61</v>
      </c>
      <c r="D55" s="36">
        <f t="shared" si="5"/>
        <v>73368.990000000005</v>
      </c>
      <c r="E55" s="48"/>
      <c r="F55" s="48"/>
      <c r="G55" s="47"/>
      <c r="H55" s="48"/>
      <c r="I55" s="360">
        <f>D234</f>
        <v>73368.990000000005</v>
      </c>
      <c r="J55" s="47"/>
      <c r="K55" s="47"/>
      <c r="L55" s="47"/>
      <c r="M55" s="47"/>
      <c r="N55" s="47"/>
      <c r="O55" s="47"/>
      <c r="P55" s="47"/>
      <c r="Q55" s="47"/>
      <c r="R55" s="47"/>
      <c r="S55" s="8">
        <f t="shared" si="6"/>
        <v>1.8317875191541215E-3</v>
      </c>
    </row>
    <row r="56" spans="1:20" hidden="1" x14ac:dyDescent="0.25">
      <c r="A56" s="56" t="s">
        <v>15</v>
      </c>
      <c r="B56" s="56" t="s">
        <v>86</v>
      </c>
      <c r="C56" s="56" t="s">
        <v>87</v>
      </c>
      <c r="D56" s="36">
        <f t="shared" si="5"/>
        <v>0</v>
      </c>
      <c r="E56" s="48"/>
      <c r="F56" s="48"/>
      <c r="G56" s="47"/>
      <c r="H56" s="48"/>
      <c r="I56" s="48"/>
      <c r="J56" s="47"/>
      <c r="K56" s="47"/>
      <c r="L56" s="47"/>
      <c r="M56" s="47"/>
      <c r="N56" s="47"/>
      <c r="O56" s="47"/>
      <c r="P56" s="47"/>
      <c r="Q56" s="47"/>
      <c r="R56" s="47"/>
      <c r="S56" s="8">
        <f t="shared" si="6"/>
        <v>0</v>
      </c>
    </row>
    <row r="57" spans="1:20" x14ac:dyDescent="0.25">
      <c r="A57" s="2" t="s">
        <v>56</v>
      </c>
      <c r="B57" s="56" t="s">
        <v>54</v>
      </c>
      <c r="C57" s="56" t="s">
        <v>60</v>
      </c>
      <c r="D57" s="36">
        <f t="shared" si="5"/>
        <v>0</v>
      </c>
      <c r="E57" s="48"/>
      <c r="F57" s="48"/>
      <c r="G57" s="47"/>
      <c r="H57" s="48"/>
      <c r="I57" s="47"/>
      <c r="J57" s="48"/>
      <c r="K57" s="48"/>
      <c r="L57" s="47"/>
      <c r="M57" s="47"/>
      <c r="N57" s="47"/>
      <c r="O57" s="47"/>
      <c r="P57" s="47"/>
      <c r="Q57" s="47"/>
      <c r="R57" s="47"/>
      <c r="S57" s="8">
        <f t="shared" si="6"/>
        <v>0</v>
      </c>
    </row>
    <row r="58" spans="1:20" x14ac:dyDescent="0.25">
      <c r="A58" s="81" t="s">
        <v>19</v>
      </c>
      <c r="B58" s="364" t="s">
        <v>84</v>
      </c>
      <c r="C58" s="76" t="s">
        <v>85</v>
      </c>
      <c r="D58" s="49">
        <f>SUM(E58:Q58)</f>
        <v>478072</v>
      </c>
      <c r="E58" s="77"/>
      <c r="F58" s="78"/>
      <c r="G58" s="78"/>
      <c r="H58" s="78"/>
      <c r="I58" s="78"/>
      <c r="J58" s="78"/>
      <c r="K58" s="78"/>
      <c r="L58" s="77"/>
      <c r="M58" s="77"/>
      <c r="N58" s="362">
        <f>D193</f>
        <v>478072</v>
      </c>
      <c r="O58" s="78"/>
      <c r="P58" s="78"/>
      <c r="Q58" s="78"/>
      <c r="R58" s="78"/>
      <c r="S58" s="50">
        <f t="shared" si="6"/>
        <v>1.1935919015064118E-2</v>
      </c>
      <c r="T58" s="8">
        <f>SUM(S29:S58)</f>
        <v>0.7124946767264746</v>
      </c>
    </row>
    <row r="59" spans="1:20" x14ac:dyDescent="0.25">
      <c r="A59" s="2"/>
      <c r="B59" s="56"/>
      <c r="C59" s="56"/>
      <c r="E59" s="48"/>
      <c r="F59" s="47"/>
      <c r="G59" s="47"/>
      <c r="H59" s="47"/>
      <c r="I59" s="47"/>
      <c r="J59" s="47"/>
      <c r="K59" s="47"/>
      <c r="L59" s="48"/>
      <c r="M59" s="48"/>
      <c r="N59" s="48"/>
      <c r="O59" s="47"/>
      <c r="P59" s="47"/>
      <c r="Q59" s="47"/>
      <c r="R59" s="47"/>
      <c r="T59" s="8"/>
    </row>
    <row r="60" spans="1:20" x14ac:dyDescent="0.25">
      <c r="A60" s="56" t="s">
        <v>474</v>
      </c>
      <c r="B60" s="56"/>
      <c r="C60" s="311"/>
      <c r="E60" s="48"/>
      <c r="F60" s="47"/>
      <c r="G60" s="47"/>
      <c r="H60" s="47"/>
      <c r="I60" s="47"/>
      <c r="J60" s="47"/>
      <c r="K60" s="47"/>
      <c r="L60" s="48"/>
      <c r="M60" s="48"/>
      <c r="N60" s="48"/>
      <c r="O60" s="47"/>
      <c r="P60" s="48"/>
      <c r="Q60" s="48"/>
      <c r="R60" s="48"/>
      <c r="S60" s="109"/>
      <c r="T60" s="8"/>
    </row>
    <row r="61" spans="1:20" x14ac:dyDescent="0.25">
      <c r="A61" s="105" t="s">
        <v>638</v>
      </c>
      <c r="B61" s="104" t="s">
        <v>132</v>
      </c>
      <c r="C61" s="105" t="s">
        <v>133</v>
      </c>
      <c r="D61" s="106">
        <f>SUM(E61:Q61)</f>
        <v>187765.63999999966</v>
      </c>
      <c r="E61" s="48"/>
      <c r="F61" s="47">
        <f>D185-2441192.45</f>
        <v>0</v>
      </c>
      <c r="G61" s="47"/>
      <c r="H61" s="47"/>
      <c r="I61" s="47"/>
      <c r="J61" s="47"/>
      <c r="K61" s="361">
        <f>D185-2253426.81</f>
        <v>187765.63999999966</v>
      </c>
      <c r="L61" s="48"/>
      <c r="M61" s="48"/>
      <c r="N61" s="48"/>
      <c r="O61" s="47"/>
      <c r="P61" s="48"/>
      <c r="Q61" s="48"/>
      <c r="R61" s="48"/>
      <c r="S61" s="109">
        <f>D61/$D$9</f>
        <v>4.6879036480941775E-3</v>
      </c>
      <c r="T61" s="348" t="s">
        <v>518</v>
      </c>
    </row>
    <row r="62" spans="1:20" x14ac:dyDescent="0.25">
      <c r="A62" s="2"/>
      <c r="B62" s="56"/>
      <c r="C62" s="101"/>
      <c r="E62" s="48"/>
      <c r="F62" s="47"/>
      <c r="G62" s="47"/>
      <c r="H62" s="47"/>
      <c r="I62" s="47"/>
      <c r="J62" s="47"/>
      <c r="K62" s="47"/>
      <c r="L62" s="48"/>
      <c r="M62" s="48"/>
      <c r="N62" s="48"/>
      <c r="O62" s="47"/>
      <c r="P62" s="48"/>
      <c r="Q62" s="48"/>
      <c r="R62" s="48"/>
      <c r="T62" s="8"/>
    </row>
    <row r="63" spans="1:20" x14ac:dyDescent="0.25">
      <c r="A63" s="2" t="s">
        <v>11</v>
      </c>
      <c r="B63" s="56"/>
      <c r="C63" s="2" t="s">
        <v>47</v>
      </c>
      <c r="D63" s="36">
        <f t="shared" si="5"/>
        <v>0</v>
      </c>
      <c r="S63" s="8">
        <f t="shared" si="6"/>
        <v>0</v>
      </c>
    </row>
    <row r="64" spans="1:20" x14ac:dyDescent="0.25">
      <c r="A64" s="2" t="s">
        <v>11</v>
      </c>
      <c r="B64" s="56"/>
      <c r="C64" s="2" t="s">
        <v>109</v>
      </c>
      <c r="D64" s="36">
        <f t="shared" si="5"/>
        <v>0</v>
      </c>
      <c r="E64" s="36">
        <f>D512</f>
        <v>0</v>
      </c>
      <c r="S64" s="8">
        <f t="shared" si="6"/>
        <v>0</v>
      </c>
    </row>
    <row r="65" spans="1:20" x14ac:dyDescent="0.25">
      <c r="A65" s="101" t="s">
        <v>11</v>
      </c>
      <c r="B65" s="365" t="s">
        <v>58</v>
      </c>
      <c r="C65" s="101" t="s">
        <v>515</v>
      </c>
      <c r="D65" s="36">
        <f t="shared" si="5"/>
        <v>7873.27</v>
      </c>
      <c r="E65" s="108">
        <f>D500+D457</f>
        <v>7873.27</v>
      </c>
      <c r="S65" s="8">
        <f t="shared" si="6"/>
        <v>1.96570209306828E-4</v>
      </c>
    </row>
    <row r="66" spans="1:20" x14ac:dyDescent="0.25">
      <c r="A66" s="2" t="s">
        <v>11</v>
      </c>
      <c r="B66" s="101"/>
      <c r="C66" s="56" t="s">
        <v>576</v>
      </c>
      <c r="D66" s="36">
        <f t="shared" si="5"/>
        <v>0</v>
      </c>
      <c r="E66" s="36">
        <f>D451</f>
        <v>0</v>
      </c>
      <c r="S66" s="8">
        <f t="shared" si="6"/>
        <v>0</v>
      </c>
    </row>
    <row r="67" spans="1:20" x14ac:dyDescent="0.25">
      <c r="A67" s="56" t="s">
        <v>12</v>
      </c>
      <c r="B67" s="56"/>
      <c r="C67" s="56" t="s">
        <v>49</v>
      </c>
      <c r="D67" s="36">
        <f t="shared" si="5"/>
        <v>0</v>
      </c>
      <c r="F67" s="36">
        <f>D470</f>
        <v>0</v>
      </c>
      <c r="S67" s="8">
        <f t="shared" si="6"/>
        <v>0</v>
      </c>
    </row>
    <row r="68" spans="1:20" x14ac:dyDescent="0.25">
      <c r="A68" s="56" t="s">
        <v>14</v>
      </c>
      <c r="B68" s="107" t="s">
        <v>104</v>
      </c>
      <c r="C68" s="56" t="s">
        <v>105</v>
      </c>
      <c r="D68" s="36">
        <f t="shared" si="5"/>
        <v>367810.92</v>
      </c>
      <c r="H68" s="108">
        <f>D464</f>
        <v>367810.92</v>
      </c>
      <c r="S68" s="8">
        <f t="shared" si="6"/>
        <v>9.1830547573926655E-3</v>
      </c>
    </row>
    <row r="69" spans="1:20" x14ac:dyDescent="0.25">
      <c r="A69" s="56" t="s">
        <v>14</v>
      </c>
      <c r="B69" s="56"/>
      <c r="C69" s="56" t="s">
        <v>579</v>
      </c>
      <c r="D69" s="36">
        <f t="shared" si="5"/>
        <v>0</v>
      </c>
      <c r="H69" s="36">
        <f>D538</f>
        <v>0</v>
      </c>
      <c r="S69" s="8">
        <f t="shared" si="6"/>
        <v>0</v>
      </c>
    </row>
    <row r="70" spans="1:20" x14ac:dyDescent="0.25">
      <c r="A70" s="56" t="s">
        <v>15</v>
      </c>
      <c r="B70" s="56"/>
      <c r="C70" s="56" t="s">
        <v>44</v>
      </c>
      <c r="D70" s="36">
        <f t="shared" si="5"/>
        <v>0</v>
      </c>
      <c r="S70" s="8">
        <f t="shared" si="6"/>
        <v>0</v>
      </c>
    </row>
    <row r="71" spans="1:20" x14ac:dyDescent="0.25">
      <c r="A71" s="2" t="s">
        <v>15</v>
      </c>
      <c r="B71" s="56"/>
      <c r="C71" s="56" t="s">
        <v>81</v>
      </c>
      <c r="D71" s="36">
        <f t="shared" si="5"/>
        <v>0</v>
      </c>
      <c r="S71" s="8">
        <f t="shared" si="6"/>
        <v>0</v>
      </c>
    </row>
    <row r="72" spans="1:20" x14ac:dyDescent="0.25">
      <c r="A72" s="56" t="s">
        <v>15</v>
      </c>
      <c r="B72" s="56"/>
      <c r="C72" s="56" t="s">
        <v>62</v>
      </c>
      <c r="D72" s="36">
        <f t="shared" si="5"/>
        <v>0</v>
      </c>
      <c r="S72" s="8">
        <f t="shared" si="6"/>
        <v>0</v>
      </c>
    </row>
    <row r="73" spans="1:20" x14ac:dyDescent="0.25">
      <c r="A73" s="56" t="s">
        <v>19</v>
      </c>
      <c r="B73" s="56"/>
      <c r="C73" s="56" t="s">
        <v>345</v>
      </c>
      <c r="D73" s="36">
        <f t="shared" si="5"/>
        <v>0</v>
      </c>
      <c r="N73" s="36">
        <f>D502+D471</f>
        <v>0</v>
      </c>
      <c r="S73" s="8">
        <f t="shared" si="6"/>
        <v>0</v>
      </c>
    </row>
    <row r="74" spans="1:20" x14ac:dyDescent="0.25">
      <c r="A74" s="56" t="s">
        <v>19</v>
      </c>
      <c r="B74" s="107" t="s">
        <v>471</v>
      </c>
      <c r="C74" s="56" t="s">
        <v>50</v>
      </c>
      <c r="D74" s="36">
        <f t="shared" si="5"/>
        <v>122364.90999999999</v>
      </c>
      <c r="N74" s="108">
        <f>D503</f>
        <v>122364.90999999999</v>
      </c>
      <c r="S74" s="8">
        <f t="shared" si="6"/>
        <v>3.0550579327917327E-3</v>
      </c>
    </row>
    <row r="75" spans="1:20" x14ac:dyDescent="0.25">
      <c r="A75" s="2" t="s">
        <v>21</v>
      </c>
      <c r="B75" s="107" t="s">
        <v>593</v>
      </c>
      <c r="C75" s="123" t="s">
        <v>468</v>
      </c>
      <c r="D75" s="36">
        <f t="shared" si="5"/>
        <v>8518729.8300000001</v>
      </c>
      <c r="P75" s="363">
        <f>D505+D472+D487+D458</f>
        <v>8518729.8300000001</v>
      </c>
      <c r="S75" s="8">
        <f t="shared" si="6"/>
        <v>0.2126852636466702</v>
      </c>
    </row>
    <row r="76" spans="1:20" x14ac:dyDescent="0.25">
      <c r="A76" s="2" t="s">
        <v>21</v>
      </c>
      <c r="B76" s="107" t="s">
        <v>594</v>
      </c>
      <c r="C76" s="123" t="s">
        <v>469</v>
      </c>
      <c r="D76" s="36">
        <f>SUM(E76:R76)</f>
        <v>2256335.5300000003</v>
      </c>
      <c r="P76" s="108">
        <f>D465+D486+D504+D524+D514</f>
        <v>2256335.5300000003</v>
      </c>
      <c r="S76" s="8">
        <f t="shared" si="6"/>
        <v>5.6333435459285999E-2</v>
      </c>
    </row>
    <row r="77" spans="1:20" x14ac:dyDescent="0.25">
      <c r="A77" s="56" t="s">
        <v>21</v>
      </c>
      <c r="B77" s="107" t="s">
        <v>102</v>
      </c>
      <c r="C77" s="56" t="s">
        <v>470</v>
      </c>
      <c r="D77" s="36">
        <f>SUM(E77:R77)</f>
        <v>0</v>
      </c>
      <c r="P77" s="36">
        <f>D525+D533+D541</f>
        <v>0</v>
      </c>
      <c r="S77" s="8">
        <f t="shared" si="6"/>
        <v>0</v>
      </c>
    </row>
    <row r="78" spans="1:20" x14ac:dyDescent="0.25">
      <c r="A78" s="56" t="s">
        <v>21</v>
      </c>
      <c r="B78" s="107" t="s">
        <v>595</v>
      </c>
      <c r="C78" s="56" t="s">
        <v>574</v>
      </c>
      <c r="D78" s="36">
        <f>SUM(E78:R78)</f>
        <v>54634.1</v>
      </c>
      <c r="P78" s="108">
        <f>D452+D459</f>
        <v>54634.1</v>
      </c>
      <c r="S78" s="8">
        <f t="shared" si="6"/>
        <v>1.3640376199838403E-3</v>
      </c>
    </row>
    <row r="79" spans="1:20" ht="13.8" thickBot="1" x14ac:dyDescent="0.3">
      <c r="A79" s="70" t="s">
        <v>56</v>
      </c>
      <c r="B79" s="70"/>
      <c r="C79" s="75" t="s">
        <v>97</v>
      </c>
      <c r="D79" s="71">
        <f>SUM(E79:R79)</f>
        <v>0</v>
      </c>
      <c r="E79" s="72"/>
      <c r="F79" s="73"/>
      <c r="G79" s="73"/>
      <c r="H79" s="73"/>
      <c r="I79" s="73"/>
      <c r="J79" s="73"/>
      <c r="K79" s="73"/>
      <c r="L79" s="72"/>
      <c r="M79" s="72"/>
      <c r="N79" s="72"/>
      <c r="O79" s="73"/>
      <c r="P79" s="72"/>
      <c r="Q79" s="72"/>
      <c r="R79" s="72"/>
      <c r="S79" s="74">
        <f>D79/D9</f>
        <v>0</v>
      </c>
      <c r="T79" s="8"/>
    </row>
    <row r="80" spans="1:20" ht="13.8" thickTop="1" x14ac:dyDescent="0.25">
      <c r="A80" s="56" t="s">
        <v>473</v>
      </c>
      <c r="B80" s="56"/>
      <c r="C80" s="101"/>
      <c r="E80" s="48"/>
      <c r="F80" s="47"/>
      <c r="G80" s="47"/>
      <c r="H80" s="47"/>
      <c r="I80" s="47"/>
      <c r="J80" s="47"/>
      <c r="K80" s="47"/>
      <c r="L80" s="48"/>
      <c r="M80" s="48"/>
      <c r="N80" s="48"/>
      <c r="O80" s="47"/>
      <c r="P80" s="48"/>
      <c r="Q80" s="48"/>
      <c r="R80" s="48"/>
      <c r="T80" s="8"/>
    </row>
    <row r="81" spans="1:20" x14ac:dyDescent="0.25">
      <c r="A81" s="2" t="s">
        <v>11</v>
      </c>
      <c r="B81" s="107" t="s">
        <v>596</v>
      </c>
      <c r="C81" s="2" t="s">
        <v>42</v>
      </c>
      <c r="D81" s="36">
        <f>SUM(E81:Q81)</f>
        <v>25467976.920000013</v>
      </c>
      <c r="E81" s="48">
        <f>D484+D498+D477</f>
        <v>25467976.920000013</v>
      </c>
      <c r="F81" s="47"/>
      <c r="G81" s="47"/>
      <c r="H81" s="47"/>
      <c r="I81" s="47"/>
      <c r="J81" s="47"/>
      <c r="K81" s="47"/>
      <c r="L81" s="48"/>
      <c r="M81" s="48"/>
      <c r="N81" s="48"/>
      <c r="O81" s="47"/>
      <c r="P81" s="48"/>
      <c r="Q81" s="48"/>
      <c r="R81" s="48"/>
      <c r="S81" s="8">
        <f>D81/$D$11</f>
        <v>0.50794235049258873</v>
      </c>
      <c r="T81" s="8"/>
    </row>
    <row r="82" spans="1:20" x14ac:dyDescent="0.25">
      <c r="A82" s="2" t="s">
        <v>11</v>
      </c>
      <c r="B82" s="107" t="s">
        <v>597</v>
      </c>
      <c r="C82" s="2" t="s">
        <v>43</v>
      </c>
      <c r="D82" s="36">
        <f>SUM(E82:Q82)</f>
        <v>24671525.91</v>
      </c>
      <c r="E82" s="36">
        <f>D478+D483+D499</f>
        <v>24671525.91</v>
      </c>
      <c r="S82" s="8">
        <f>D82/$D11</f>
        <v>0.49205764950741121</v>
      </c>
    </row>
    <row r="83" spans="1:20" x14ac:dyDescent="0.25">
      <c r="C83" s="101" t="s">
        <v>97</v>
      </c>
      <c r="D83" s="49">
        <f>SUM(E83:R83)</f>
        <v>0</v>
      </c>
      <c r="E83" s="49"/>
      <c r="F83" s="49"/>
      <c r="G83" s="49"/>
      <c r="H83" s="49"/>
      <c r="I83" s="49"/>
      <c r="J83" s="49"/>
      <c r="K83" s="49"/>
      <c r="L83" s="49"/>
      <c r="M83" s="49"/>
      <c r="N83" s="49"/>
      <c r="O83" s="49"/>
      <c r="P83" s="49"/>
      <c r="Q83" s="49"/>
      <c r="R83" s="49"/>
      <c r="S83" s="50">
        <f>D83/$D11</f>
        <v>0</v>
      </c>
    </row>
    <row r="84" spans="1:20" x14ac:dyDescent="0.25">
      <c r="C84" s="101"/>
      <c r="D84" s="103"/>
    </row>
    <row r="85" spans="1:20" s="8" customFormat="1" ht="13.8" thickBot="1" x14ac:dyDescent="0.3">
      <c r="B85" s="51"/>
      <c r="C85" s="52" t="s">
        <v>25</v>
      </c>
      <c r="D85" s="53"/>
      <c r="E85" s="53">
        <f>E5/D5</f>
        <v>0.62672014987120239</v>
      </c>
      <c r="F85" s="53">
        <f>F5/D5</f>
        <v>9.1916456825613044E-2</v>
      </c>
      <c r="G85" s="53">
        <f>G5/D5</f>
        <v>0</v>
      </c>
      <c r="H85" s="53">
        <f>H5/D5</f>
        <v>5.0346554853770917E-2</v>
      </c>
      <c r="I85" s="53">
        <f>I5/D5</f>
        <v>2.5664181871265263E-2</v>
      </c>
      <c r="J85" s="53">
        <f>J5/D5</f>
        <v>1.8765779048406062E-3</v>
      </c>
      <c r="K85" s="53">
        <f>K5/D5</f>
        <v>1.3799458157008334E-2</v>
      </c>
      <c r="L85" s="53">
        <f>L5/D5</f>
        <v>2.2492434052278784E-2</v>
      </c>
      <c r="M85" s="53">
        <f>M5/D5</f>
        <v>9.395943907781713E-3</v>
      </c>
      <c r="N85" s="53">
        <f>N5/D5</f>
        <v>2.1422351271924281E-2</v>
      </c>
      <c r="O85" s="53">
        <f>O5/D5</f>
        <v>1.0716943838839423E-2</v>
      </c>
      <c r="P85" s="53">
        <f>P5/D5</f>
        <v>0.12002634221940281</v>
      </c>
      <c r="Q85" s="53">
        <f>Q5/D5</f>
        <v>5.6226052260723658E-3</v>
      </c>
      <c r="R85" s="53">
        <f>R5/D5</f>
        <v>0</v>
      </c>
      <c r="S85" s="53"/>
    </row>
    <row r="86" spans="1:20" s="8" customFormat="1" ht="13.8" thickTop="1" x14ac:dyDescent="0.25">
      <c r="A86" s="54"/>
      <c r="C86" s="52"/>
    </row>
    <row r="87" spans="1:20" ht="13.8" x14ac:dyDescent="0.25">
      <c r="A87" s="126" t="s">
        <v>476</v>
      </c>
      <c r="E87"/>
      <c r="F87"/>
      <c r="G87"/>
      <c r="H87"/>
      <c r="I87"/>
      <c r="J87"/>
      <c r="K87"/>
      <c r="L87"/>
      <c r="M87"/>
      <c r="N87"/>
      <c r="O87"/>
      <c r="P87"/>
      <c r="Q87"/>
      <c r="R87"/>
      <c r="S87"/>
    </row>
    <row r="88" spans="1:20" x14ac:dyDescent="0.25">
      <c r="D88"/>
      <c r="E88"/>
      <c r="F88"/>
      <c r="G88"/>
      <c r="H88"/>
      <c r="I88"/>
      <c r="J88"/>
      <c r="K88"/>
      <c r="L88"/>
      <c r="M88"/>
      <c r="N88"/>
      <c r="O88"/>
      <c r="P88"/>
      <c r="Q88"/>
      <c r="R88"/>
      <c r="S88"/>
    </row>
    <row r="89" spans="1:20" x14ac:dyDescent="0.25">
      <c r="B89" s="322" t="s">
        <v>11</v>
      </c>
      <c r="C89" s="322" t="s">
        <v>12</v>
      </c>
      <c r="D89" s="322" t="s">
        <v>14</v>
      </c>
      <c r="E89" s="322" t="s">
        <v>15</v>
      </c>
      <c r="F89" s="322" t="s">
        <v>16</v>
      </c>
      <c r="G89" s="322" t="s">
        <v>17</v>
      </c>
      <c r="H89" s="322" t="s">
        <v>18</v>
      </c>
      <c r="I89" s="322" t="s">
        <v>19</v>
      </c>
      <c r="J89" s="322" t="s">
        <v>20</v>
      </c>
      <c r="K89" s="322" t="s">
        <v>21</v>
      </c>
      <c r="L89" s="322" t="s">
        <v>22</v>
      </c>
      <c r="M89" s="322" t="s">
        <v>477</v>
      </c>
      <c r="N89" s="322" t="s">
        <v>4</v>
      </c>
      <c r="O89"/>
      <c r="P89"/>
      <c r="Q89"/>
      <c r="R89"/>
      <c r="S89"/>
    </row>
    <row r="90" spans="1:20" x14ac:dyDescent="0.25">
      <c r="B90" s="323"/>
      <c r="C90" s="323"/>
      <c r="D90" s="323"/>
      <c r="E90" s="323"/>
      <c r="F90" s="323"/>
      <c r="G90" s="323"/>
      <c r="H90" s="323"/>
      <c r="I90" s="323"/>
      <c r="J90" s="323"/>
      <c r="K90" s="323"/>
      <c r="L90" s="323"/>
      <c r="M90" s="323"/>
      <c r="N90" s="324"/>
      <c r="O90"/>
      <c r="P90"/>
      <c r="Q90"/>
      <c r="R90"/>
      <c r="S90"/>
    </row>
    <row r="91" spans="1:20" x14ac:dyDescent="0.25">
      <c r="A91" s="123" t="s">
        <v>478</v>
      </c>
      <c r="B91" s="325">
        <v>3332055.1500000004</v>
      </c>
      <c r="C91" s="325"/>
      <c r="D91" s="325"/>
      <c r="E91" s="325"/>
      <c r="F91" s="325"/>
      <c r="G91" s="325"/>
      <c r="H91" s="325">
        <v>161371.20000000001</v>
      </c>
      <c r="I91" s="325">
        <v>328929.98999999993</v>
      </c>
      <c r="J91" s="325"/>
      <c r="K91" s="325"/>
      <c r="L91" s="325"/>
      <c r="M91" s="325"/>
      <c r="N91" s="325"/>
      <c r="O91"/>
      <c r="P91"/>
      <c r="Q91"/>
      <c r="R91"/>
      <c r="S91"/>
    </row>
    <row r="92" spans="1:20" x14ac:dyDescent="0.25">
      <c r="A92" s="123" t="s">
        <v>479</v>
      </c>
      <c r="B92" s="325">
        <v>7300000</v>
      </c>
      <c r="C92" s="326">
        <v>973244.32999999984</v>
      </c>
      <c r="D92" s="325">
        <v>21886.49</v>
      </c>
      <c r="E92" s="325">
        <v>203041.7</v>
      </c>
      <c r="F92" s="325">
        <v>216168.12</v>
      </c>
      <c r="G92" s="325">
        <v>1500479.34</v>
      </c>
      <c r="H92" s="325">
        <v>405926.88</v>
      </c>
      <c r="I92" s="325">
        <f>583522.84+2814.57</f>
        <v>586337.40999999992</v>
      </c>
      <c r="J92" s="325">
        <v>338665.69</v>
      </c>
      <c r="K92" s="325">
        <v>273254.27999999997</v>
      </c>
      <c r="L92" s="325"/>
      <c r="M92" s="325"/>
      <c r="N92" s="325"/>
      <c r="O92"/>
      <c r="P92"/>
      <c r="Q92"/>
      <c r="R92"/>
      <c r="S92"/>
    </row>
    <row r="93" spans="1:20" x14ac:dyDescent="0.25">
      <c r="A93" s="123" t="s">
        <v>480</v>
      </c>
      <c r="B93" s="325"/>
      <c r="C93" s="326">
        <v>365771.9</v>
      </c>
      <c r="D93" s="325">
        <v>424374.56</v>
      </c>
      <c r="E93" s="325"/>
      <c r="F93" s="325"/>
      <c r="G93" s="325">
        <v>2221.42</v>
      </c>
      <c r="H93" s="325">
        <v>258086.28999999998</v>
      </c>
      <c r="I93" s="325">
        <v>282959.26999999996</v>
      </c>
      <c r="J93" s="325">
        <v>338653.17000000004</v>
      </c>
      <c r="K93" s="325">
        <v>16737.599999999999</v>
      </c>
      <c r="L93" s="325"/>
      <c r="M93" s="325"/>
      <c r="N93" s="325"/>
      <c r="O93"/>
      <c r="P93"/>
      <c r="Q93"/>
      <c r="R93"/>
      <c r="S93"/>
    </row>
    <row r="94" spans="1:20" x14ac:dyDescent="0.25">
      <c r="A94" s="123" t="s">
        <v>481</v>
      </c>
      <c r="B94" s="325"/>
      <c r="C94" s="326">
        <v>1119398.8500000001</v>
      </c>
      <c r="D94" s="325"/>
      <c r="E94" s="325">
        <v>134506.43000000002</v>
      </c>
      <c r="F94" s="325"/>
      <c r="G94" s="325"/>
      <c r="H94" s="325"/>
      <c r="I94" s="325">
        <v>212943.8</v>
      </c>
      <c r="J94" s="325"/>
      <c r="K94" s="325">
        <f>204970.11+21261.75</f>
        <v>226231.86</v>
      </c>
      <c r="L94" s="325">
        <v>28566.100000000002</v>
      </c>
      <c r="M94" s="325">
        <v>1374259.93</v>
      </c>
      <c r="N94" s="325"/>
      <c r="O94"/>
      <c r="P94"/>
      <c r="Q94"/>
      <c r="R94"/>
      <c r="S94"/>
    </row>
    <row r="95" spans="1:20" x14ac:dyDescent="0.25">
      <c r="A95" s="123" t="s">
        <v>482</v>
      </c>
      <c r="B95" s="325"/>
      <c r="C95" s="326">
        <v>921582.1100000001</v>
      </c>
      <c r="D95" s="325">
        <v>479656.43000000011</v>
      </c>
      <c r="E95" s="325">
        <v>155222.82999999999</v>
      </c>
      <c r="F95" s="325"/>
      <c r="G95" s="325"/>
      <c r="H95" s="325"/>
      <c r="I95" s="325">
        <v>64230.810000000005</v>
      </c>
      <c r="J95" s="325">
        <v>206747.25</v>
      </c>
      <c r="K95" s="325">
        <v>92480</v>
      </c>
      <c r="L95" s="325"/>
      <c r="M95" s="325"/>
      <c r="N95" s="325"/>
      <c r="O95"/>
      <c r="P95"/>
      <c r="Q95"/>
      <c r="R95"/>
      <c r="S95"/>
    </row>
    <row r="96" spans="1:20" x14ac:dyDescent="0.25">
      <c r="A96" s="123" t="s">
        <v>483</v>
      </c>
      <c r="B96" s="325"/>
      <c r="C96" s="326">
        <v>945312.5199999999</v>
      </c>
      <c r="D96" s="325">
        <v>1473.29</v>
      </c>
      <c r="E96" s="325"/>
      <c r="F96" s="325"/>
      <c r="G96" s="325">
        <v>281354.11</v>
      </c>
      <c r="H96" s="325"/>
      <c r="I96" s="325">
        <v>33258.36</v>
      </c>
      <c r="J96" s="325"/>
      <c r="K96" s="325">
        <v>29094.27</v>
      </c>
      <c r="L96" s="325">
        <v>113811.54000000001</v>
      </c>
      <c r="M96" s="325"/>
      <c r="N96" s="325"/>
      <c r="O96"/>
      <c r="P96"/>
      <c r="Q96"/>
      <c r="R96"/>
      <c r="S96"/>
    </row>
    <row r="97" spans="1:19" x14ac:dyDescent="0.25">
      <c r="A97" s="123" t="s">
        <v>484</v>
      </c>
      <c r="B97" s="325"/>
      <c r="C97" s="326">
        <v>789449.58</v>
      </c>
      <c r="D97" s="325"/>
      <c r="E97" s="325"/>
      <c r="F97" s="325"/>
      <c r="G97" s="325">
        <v>73984.89</v>
      </c>
      <c r="H97" s="325"/>
      <c r="I97" s="325">
        <v>44154.12</v>
      </c>
      <c r="J97" s="325"/>
      <c r="K97" s="325">
        <v>33572.51</v>
      </c>
      <c r="L97" s="325"/>
      <c r="M97" s="325"/>
      <c r="N97" s="325"/>
      <c r="O97"/>
      <c r="P97"/>
      <c r="Q97"/>
      <c r="R97"/>
      <c r="S97"/>
    </row>
    <row r="98" spans="1:19" x14ac:dyDescent="0.25">
      <c r="A98" s="123" t="s">
        <v>485</v>
      </c>
      <c r="B98" s="325"/>
      <c r="C98" s="326">
        <v>89533.01</v>
      </c>
      <c r="D98" s="325"/>
      <c r="E98" s="325"/>
      <c r="F98" s="325"/>
      <c r="G98" s="325"/>
      <c r="H98" s="325"/>
      <c r="I98" s="325">
        <v>9878.9699999999993</v>
      </c>
      <c r="J98" s="325"/>
      <c r="K98" s="325"/>
      <c r="L98" s="325"/>
      <c r="M98" s="325"/>
      <c r="N98" s="325"/>
      <c r="O98"/>
      <c r="P98"/>
      <c r="Q98"/>
      <c r="R98"/>
      <c r="S98"/>
    </row>
    <row r="99" spans="1:19" x14ac:dyDescent="0.25">
      <c r="A99" s="123" t="s">
        <v>486</v>
      </c>
      <c r="B99" s="325"/>
      <c r="C99" s="326">
        <v>16004.89</v>
      </c>
      <c r="D99" s="325"/>
      <c r="E99" s="325"/>
      <c r="F99" s="325"/>
      <c r="G99" s="325"/>
      <c r="H99" s="325"/>
      <c r="I99" s="325"/>
      <c r="J99" s="325"/>
      <c r="K99" s="325"/>
      <c r="L99" s="325"/>
      <c r="M99" s="325"/>
      <c r="N99" s="325"/>
      <c r="O99"/>
      <c r="P99"/>
      <c r="Q99"/>
      <c r="R99"/>
      <c r="S99"/>
    </row>
    <row r="100" spans="1:19" x14ac:dyDescent="0.25">
      <c r="A100" s="123" t="s">
        <v>487</v>
      </c>
      <c r="B100" s="325"/>
      <c r="C100" s="326">
        <v>65342.71</v>
      </c>
      <c r="D100" s="325"/>
      <c r="E100" s="325"/>
      <c r="F100" s="325"/>
      <c r="G100" s="325"/>
      <c r="H100" s="325"/>
      <c r="I100" s="325"/>
      <c r="J100" s="325"/>
      <c r="K100" s="325"/>
      <c r="L100" s="325"/>
      <c r="M100" s="325"/>
      <c r="N100" s="325"/>
      <c r="O100"/>
      <c r="P100"/>
      <c r="Q100"/>
      <c r="R100"/>
      <c r="S100"/>
    </row>
    <row r="101" spans="1:19" x14ac:dyDescent="0.25">
      <c r="A101" s="123" t="s">
        <v>488</v>
      </c>
      <c r="B101" s="325"/>
      <c r="C101" s="326">
        <v>87837.97</v>
      </c>
      <c r="D101" s="325"/>
      <c r="E101" s="325"/>
      <c r="F101" s="325"/>
      <c r="G101" s="325"/>
      <c r="H101" s="325"/>
      <c r="I101" s="325"/>
      <c r="J101" s="325"/>
      <c r="K101" s="325"/>
      <c r="L101" s="325"/>
      <c r="M101" s="325"/>
      <c r="N101" s="325"/>
      <c r="O101"/>
      <c r="P101"/>
      <c r="Q101"/>
      <c r="R101"/>
      <c r="S101"/>
    </row>
    <row r="102" spans="1:19" x14ac:dyDescent="0.25">
      <c r="A102" s="123" t="s">
        <v>489</v>
      </c>
      <c r="B102" s="325"/>
      <c r="C102" s="326">
        <v>11117.16</v>
      </c>
      <c r="D102" s="325"/>
      <c r="E102" s="325"/>
      <c r="F102" s="325"/>
      <c r="G102" s="325"/>
      <c r="H102" s="325"/>
      <c r="I102" s="325"/>
      <c r="J102" s="325"/>
      <c r="K102" s="325"/>
      <c r="L102" s="325"/>
      <c r="M102" s="325"/>
      <c r="N102" s="325"/>
      <c r="O102"/>
      <c r="P102"/>
      <c r="Q102"/>
      <c r="R102"/>
      <c r="S102"/>
    </row>
    <row r="103" spans="1:19" x14ac:dyDescent="0.25">
      <c r="A103" s="123" t="s">
        <v>490</v>
      </c>
      <c r="B103" s="325"/>
      <c r="C103" s="326">
        <v>14969.81</v>
      </c>
      <c r="D103" s="325"/>
      <c r="E103" s="325"/>
      <c r="F103" s="325"/>
      <c r="G103" s="325"/>
      <c r="H103" s="325"/>
      <c r="I103" s="325"/>
      <c r="J103" s="325"/>
      <c r="K103" s="325"/>
      <c r="L103" s="325"/>
      <c r="M103" s="325"/>
      <c r="N103" s="325"/>
      <c r="O103"/>
      <c r="P103"/>
      <c r="Q103"/>
      <c r="R103"/>
      <c r="S103"/>
    </row>
    <row r="104" spans="1:19" x14ac:dyDescent="0.25">
      <c r="A104" s="123" t="s">
        <v>491</v>
      </c>
      <c r="B104" s="325"/>
      <c r="C104" s="326">
        <v>13859.1</v>
      </c>
      <c r="D104" s="325"/>
      <c r="E104" s="325"/>
      <c r="F104" s="325"/>
      <c r="G104" s="325"/>
      <c r="H104" s="325"/>
      <c r="I104" s="325"/>
      <c r="J104" s="325"/>
      <c r="K104" s="325"/>
      <c r="L104" s="325"/>
      <c r="M104" s="325"/>
      <c r="N104" s="325"/>
      <c r="O104"/>
      <c r="P104"/>
      <c r="Q104"/>
      <c r="R104"/>
      <c r="S104"/>
    </row>
    <row r="105" spans="1:19" x14ac:dyDescent="0.25">
      <c r="B105" s="325"/>
      <c r="C105" s="325"/>
      <c r="D105" s="325"/>
      <c r="E105" s="325"/>
      <c r="F105" s="325"/>
      <c r="G105" s="325"/>
      <c r="H105" s="325"/>
      <c r="I105" s="325"/>
      <c r="J105" s="325"/>
      <c r="K105" s="325"/>
      <c r="L105" s="325"/>
      <c r="M105" s="325"/>
      <c r="N105" s="325"/>
      <c r="O105"/>
      <c r="P105"/>
      <c r="Q105"/>
      <c r="R105"/>
      <c r="S105"/>
    </row>
    <row r="106" spans="1:19" x14ac:dyDescent="0.25">
      <c r="B106" s="325"/>
      <c r="C106" s="325"/>
      <c r="D106" s="325"/>
      <c r="E106" s="325"/>
      <c r="F106" s="325"/>
      <c r="G106" s="325"/>
      <c r="H106" s="325"/>
      <c r="I106" s="325"/>
      <c r="J106" s="325"/>
      <c r="K106" s="325"/>
      <c r="L106" s="325"/>
      <c r="M106" s="325"/>
      <c r="N106" s="325"/>
      <c r="O106"/>
      <c r="P106"/>
      <c r="Q106"/>
      <c r="R106"/>
      <c r="S106"/>
    </row>
    <row r="107" spans="1:19" x14ac:dyDescent="0.25">
      <c r="B107" s="327">
        <f>SUM(B91:B106)</f>
        <v>10632055.15</v>
      </c>
      <c r="C107" s="327">
        <f t="shared" ref="C107:M107" si="7">SUM(C91:C106)</f>
        <v>5413423.9399999985</v>
      </c>
      <c r="D107" s="327">
        <f t="shared" si="7"/>
        <v>927390.77000000014</v>
      </c>
      <c r="E107" s="327">
        <f t="shared" si="7"/>
        <v>492770.95999999996</v>
      </c>
      <c r="F107" s="327">
        <f t="shared" si="7"/>
        <v>216168.12</v>
      </c>
      <c r="G107" s="327">
        <f t="shared" si="7"/>
        <v>1858039.76</v>
      </c>
      <c r="H107" s="327">
        <f t="shared" si="7"/>
        <v>825384.37000000011</v>
      </c>
      <c r="I107" s="327">
        <f t="shared" si="7"/>
        <v>1562692.7300000002</v>
      </c>
      <c r="J107" s="327">
        <f t="shared" si="7"/>
        <v>884066.1100000001</v>
      </c>
      <c r="K107" s="327">
        <f t="shared" si="7"/>
        <v>671370.52</v>
      </c>
      <c r="L107" s="327">
        <f t="shared" si="7"/>
        <v>142377.64000000001</v>
      </c>
      <c r="M107" s="327">
        <f t="shared" si="7"/>
        <v>1374259.93</v>
      </c>
      <c r="N107" s="327">
        <f>SUM(B107:M107)</f>
        <v>25000000.000000004</v>
      </c>
      <c r="O107"/>
      <c r="P107"/>
      <c r="Q107"/>
      <c r="R107"/>
      <c r="S107"/>
    </row>
    <row r="108" spans="1:19" x14ac:dyDescent="0.25">
      <c r="B108" s="328"/>
      <c r="C108" s="328"/>
      <c r="D108" s="328"/>
      <c r="E108" s="328"/>
      <c r="F108" s="328"/>
      <c r="G108" s="328"/>
      <c r="H108" s="328"/>
      <c r="I108" s="328"/>
      <c r="J108" s="328"/>
      <c r="K108" s="328"/>
      <c r="L108" s="328"/>
      <c r="M108" s="328"/>
      <c r="N108" s="328"/>
      <c r="O108"/>
      <c r="P108"/>
      <c r="Q108"/>
      <c r="R108"/>
      <c r="S108"/>
    </row>
    <row r="112" spans="1:19" x14ac:dyDescent="0.25">
      <c r="C112" s="184"/>
      <c r="D112" s="184"/>
      <c r="E112" s="190"/>
    </row>
    <row r="113" spans="2:8" x14ac:dyDescent="0.25">
      <c r="B113" s="184"/>
      <c r="C113" s="184"/>
      <c r="D113" s="190"/>
      <c r="E113"/>
      <c r="F113"/>
      <c r="G113"/>
      <c r="H113"/>
    </row>
    <row r="114" spans="2:8" ht="13.8" thickBot="1" x14ac:dyDescent="0.3">
      <c r="B114" s="338"/>
      <c r="C114" s="184"/>
      <c r="D114" s="186"/>
      <c r="E114"/>
      <c r="F114"/>
      <c r="G114"/>
      <c r="H114"/>
    </row>
    <row r="115" spans="2:8" x14ac:dyDescent="0.25">
      <c r="B115" s="338" t="s">
        <v>634</v>
      </c>
      <c r="C115" s="197" t="s">
        <v>173</v>
      </c>
      <c r="D115" s="200" t="s">
        <v>0</v>
      </c>
      <c r="E115"/>
      <c r="F115"/>
      <c r="G115"/>
      <c r="H115"/>
    </row>
    <row r="116" spans="2:8" ht="13.8" thickBot="1" x14ac:dyDescent="0.3">
      <c r="B116" s="184"/>
      <c r="C116" s="204"/>
      <c r="D116" s="209" t="s">
        <v>188</v>
      </c>
      <c r="E116"/>
      <c r="F116"/>
      <c r="G116"/>
      <c r="H116"/>
    </row>
    <row r="117" spans="2:8" x14ac:dyDescent="0.25">
      <c r="B117" s="184"/>
      <c r="C117" s="184"/>
      <c r="D117" s="216"/>
      <c r="E117" s="43"/>
      <c r="F117" s="43"/>
      <c r="G117" s="43"/>
      <c r="H117" s="43"/>
    </row>
    <row r="118" spans="2:8" x14ac:dyDescent="0.25">
      <c r="B118" s="219" t="s">
        <v>197</v>
      </c>
      <c r="C118" s="220"/>
      <c r="D118" s="223"/>
      <c r="E118" s="43"/>
      <c r="F118" s="43"/>
      <c r="G118" s="43"/>
      <c r="H118" s="43"/>
    </row>
    <row r="119" spans="2:8" x14ac:dyDescent="0.25">
      <c r="B119" s="184" t="s">
        <v>199</v>
      </c>
      <c r="C119" s="312" t="s">
        <v>199</v>
      </c>
      <c r="D119" s="223">
        <v>160987.80000000002</v>
      </c>
      <c r="E119" s="43"/>
      <c r="F119" s="43"/>
      <c r="G119" s="43"/>
      <c r="H119" s="43"/>
    </row>
    <row r="120" spans="2:8" x14ac:dyDescent="0.25">
      <c r="B120" s="224" t="s">
        <v>201</v>
      </c>
      <c r="C120" s="224" t="s">
        <v>201</v>
      </c>
      <c r="D120" s="223"/>
      <c r="E120" s="43"/>
      <c r="F120" s="43"/>
      <c r="G120" s="43"/>
      <c r="H120" s="43"/>
    </row>
    <row r="121" spans="2:8" x14ac:dyDescent="0.25">
      <c r="B121" s="184" t="s">
        <v>202</v>
      </c>
      <c r="C121" s="184" t="s">
        <v>202</v>
      </c>
      <c r="D121" s="343">
        <f>4480983.78-2253426.81</f>
        <v>2227556.9700000002</v>
      </c>
      <c r="E121" s="56" t="s">
        <v>578</v>
      </c>
      <c r="F121" s="43"/>
      <c r="G121" s="43"/>
      <c r="H121" s="43"/>
    </row>
    <row r="122" spans="2:8" x14ac:dyDescent="0.25">
      <c r="B122" s="184" t="s">
        <v>203</v>
      </c>
      <c r="C122" s="184" t="s">
        <v>203</v>
      </c>
      <c r="D122" s="223">
        <v>128610.64</v>
      </c>
      <c r="E122"/>
      <c r="F122"/>
      <c r="G122"/>
      <c r="H122"/>
    </row>
    <row r="123" spans="2:8" x14ac:dyDescent="0.25">
      <c r="B123" s="184" t="s">
        <v>204</v>
      </c>
      <c r="C123" s="184" t="s">
        <v>204</v>
      </c>
      <c r="D123" s="223">
        <v>0</v>
      </c>
      <c r="E123"/>
      <c r="F123"/>
      <c r="G123"/>
      <c r="H123"/>
    </row>
    <row r="124" spans="2:8" x14ac:dyDescent="0.25">
      <c r="B124" s="184" t="s">
        <v>205</v>
      </c>
      <c r="C124" s="184" t="s">
        <v>205</v>
      </c>
      <c r="D124" s="223">
        <v>83589.649999999994</v>
      </c>
      <c r="E124"/>
      <c r="F124"/>
      <c r="G124"/>
      <c r="H124"/>
    </row>
    <row r="125" spans="2:8" x14ac:dyDescent="0.25">
      <c r="B125" s="184" t="s">
        <v>206</v>
      </c>
      <c r="C125" s="184" t="s">
        <v>206</v>
      </c>
      <c r="D125" s="223">
        <v>0</v>
      </c>
      <c r="E125"/>
      <c r="F125"/>
      <c r="G125"/>
      <c r="H125"/>
    </row>
    <row r="126" spans="2:8" x14ac:dyDescent="0.25">
      <c r="B126" s="184" t="s">
        <v>207</v>
      </c>
      <c r="C126" s="184" t="s">
        <v>207</v>
      </c>
      <c r="D126" s="223">
        <v>0</v>
      </c>
      <c r="E126"/>
      <c r="F126"/>
      <c r="G126"/>
      <c r="H126"/>
    </row>
    <row r="127" spans="2:8" x14ac:dyDescent="0.25">
      <c r="B127" s="184" t="s">
        <v>208</v>
      </c>
      <c r="C127" s="184" t="s">
        <v>208</v>
      </c>
      <c r="D127" s="223">
        <v>0</v>
      </c>
      <c r="E127"/>
      <c r="F127"/>
      <c r="G127"/>
      <c r="H127"/>
    </row>
    <row r="128" spans="2:8" x14ac:dyDescent="0.25">
      <c r="B128" s="184" t="s">
        <v>209</v>
      </c>
      <c r="C128" s="184" t="s">
        <v>209</v>
      </c>
      <c r="D128" s="223">
        <v>83211.75</v>
      </c>
      <c r="E128"/>
      <c r="F128"/>
      <c r="G128"/>
      <c r="H128"/>
    </row>
    <row r="129" spans="2:8" x14ac:dyDescent="0.25">
      <c r="B129" s="184" t="s">
        <v>210</v>
      </c>
      <c r="C129" s="184" t="s">
        <v>210</v>
      </c>
      <c r="D129" s="223">
        <v>0</v>
      </c>
      <c r="E129"/>
      <c r="F129"/>
      <c r="G129"/>
      <c r="H129"/>
    </row>
    <row r="130" spans="2:8" x14ac:dyDescent="0.25">
      <c r="B130" s="184" t="s">
        <v>211</v>
      </c>
      <c r="C130" s="184" t="s">
        <v>211</v>
      </c>
      <c r="D130" s="223">
        <v>0</v>
      </c>
      <c r="E130"/>
      <c r="F130"/>
      <c r="G130"/>
      <c r="H130"/>
    </row>
    <row r="131" spans="2:8" x14ac:dyDescent="0.25">
      <c r="B131" s="184" t="s">
        <v>212</v>
      </c>
      <c r="C131" s="184" t="s">
        <v>212</v>
      </c>
      <c r="D131" s="223">
        <v>0</v>
      </c>
      <c r="E131"/>
      <c r="F131"/>
      <c r="G131"/>
      <c r="H131"/>
    </row>
    <row r="132" spans="2:8" x14ac:dyDescent="0.25">
      <c r="B132" s="184" t="s">
        <v>213</v>
      </c>
      <c r="C132" s="184" t="s">
        <v>213</v>
      </c>
      <c r="D132" s="223">
        <v>0</v>
      </c>
      <c r="E132"/>
      <c r="F132"/>
      <c r="G132"/>
      <c r="H132"/>
    </row>
    <row r="133" spans="2:8" x14ac:dyDescent="0.25">
      <c r="B133" s="184" t="s">
        <v>214</v>
      </c>
      <c r="C133" s="184" t="s">
        <v>214</v>
      </c>
      <c r="D133" s="223">
        <v>0</v>
      </c>
      <c r="E133"/>
      <c r="F133"/>
      <c r="G133"/>
      <c r="H133"/>
    </row>
    <row r="134" spans="2:8" x14ac:dyDescent="0.25">
      <c r="B134" s="184" t="s">
        <v>215</v>
      </c>
      <c r="C134" s="184" t="s">
        <v>215</v>
      </c>
      <c r="D134" s="223">
        <v>0</v>
      </c>
      <c r="E134"/>
      <c r="F134"/>
      <c r="G134"/>
      <c r="H134"/>
    </row>
    <row r="135" spans="2:8" x14ac:dyDescent="0.25">
      <c r="B135" s="224" t="s">
        <v>216</v>
      </c>
      <c r="C135" s="224" t="s">
        <v>216</v>
      </c>
      <c r="D135" s="223">
        <v>0</v>
      </c>
      <c r="E135"/>
      <c r="F135"/>
      <c r="G135"/>
      <c r="H135"/>
    </row>
    <row r="136" spans="2:8" x14ac:dyDescent="0.25">
      <c r="B136" s="184"/>
      <c r="C136" s="184"/>
      <c r="D136" s="216"/>
      <c r="E136"/>
      <c r="F136"/>
      <c r="G136"/>
      <c r="H136"/>
    </row>
    <row r="137" spans="2:8" ht="13.8" thickBot="1" x14ac:dyDescent="0.3">
      <c r="B137" s="184"/>
      <c r="C137" s="227" t="s">
        <v>217</v>
      </c>
      <c r="D137" s="228">
        <f>SUM(D119:D136)</f>
        <v>2683956.81</v>
      </c>
      <c r="E137"/>
      <c r="F137"/>
      <c r="G137"/>
      <c r="H137"/>
    </row>
    <row r="138" spans="2:8" ht="13.8" thickTop="1" x14ac:dyDescent="0.25">
      <c r="B138" s="184"/>
      <c r="C138" s="184"/>
      <c r="D138" s="216"/>
      <c r="E138"/>
      <c r="F138"/>
      <c r="G138"/>
      <c r="H138"/>
    </row>
    <row r="139" spans="2:8" x14ac:dyDescent="0.25">
      <c r="B139" s="219" t="s">
        <v>219</v>
      </c>
      <c r="C139" s="220"/>
      <c r="D139" s="223"/>
      <c r="E139"/>
      <c r="F139"/>
      <c r="G139"/>
      <c r="H139"/>
    </row>
    <row r="140" spans="2:8" x14ac:dyDescent="0.25">
      <c r="B140" s="184" t="s">
        <v>199</v>
      </c>
      <c r="C140" s="312" t="s">
        <v>199</v>
      </c>
      <c r="D140" s="358">
        <v>759980.16000000027</v>
      </c>
      <c r="E140"/>
      <c r="F140"/>
      <c r="G140"/>
      <c r="H140"/>
    </row>
    <row r="141" spans="2:8" x14ac:dyDescent="0.25">
      <c r="B141" s="184" t="s">
        <v>220</v>
      </c>
      <c r="C141" s="312" t="s">
        <v>220</v>
      </c>
      <c r="D141" s="223">
        <v>0</v>
      </c>
      <c r="E141"/>
      <c r="F141"/>
      <c r="G141"/>
      <c r="H141"/>
    </row>
    <row r="142" spans="2:8" x14ac:dyDescent="0.25">
      <c r="B142" s="224" t="s">
        <v>201</v>
      </c>
      <c r="C142" s="224" t="s">
        <v>201</v>
      </c>
      <c r="D142" s="223"/>
      <c r="E142"/>
      <c r="F142"/>
      <c r="G142"/>
      <c r="H142"/>
    </row>
    <row r="143" spans="2:8" x14ac:dyDescent="0.25">
      <c r="B143" s="184" t="s">
        <v>202</v>
      </c>
      <c r="C143" s="184" t="s">
        <v>202</v>
      </c>
      <c r="D143" s="358">
        <v>6622572.5500000026</v>
      </c>
      <c r="E143"/>
      <c r="F143"/>
      <c r="G143"/>
      <c r="H143"/>
    </row>
    <row r="144" spans="2:8" x14ac:dyDescent="0.25">
      <c r="B144" s="184" t="s">
        <v>203</v>
      </c>
      <c r="C144" s="184" t="s">
        <v>203</v>
      </c>
      <c r="D144" s="223">
        <v>1069121.96</v>
      </c>
      <c r="E144"/>
      <c r="F144"/>
      <c r="G144"/>
      <c r="H144"/>
    </row>
    <row r="145" spans="2:8" x14ac:dyDescent="0.25">
      <c r="B145" s="184" t="s">
        <v>204</v>
      </c>
      <c r="C145" s="184" t="s">
        <v>204</v>
      </c>
      <c r="D145" s="223">
        <v>752227</v>
      </c>
      <c r="E145"/>
      <c r="F145"/>
      <c r="G145"/>
      <c r="H145"/>
    </row>
    <row r="146" spans="2:8" x14ac:dyDescent="0.25">
      <c r="B146" s="184" t="s">
        <v>205</v>
      </c>
      <c r="C146" s="184" t="s">
        <v>205</v>
      </c>
      <c r="D146" s="223">
        <v>908.17</v>
      </c>
      <c r="E146"/>
      <c r="F146"/>
      <c r="G146"/>
      <c r="H146"/>
    </row>
    <row r="147" spans="2:8" x14ac:dyDescent="0.25">
      <c r="B147" s="184" t="s">
        <v>206</v>
      </c>
      <c r="C147" s="184" t="s">
        <v>206</v>
      </c>
      <c r="D147" s="223">
        <v>0</v>
      </c>
      <c r="E147"/>
      <c r="F147"/>
      <c r="G147"/>
      <c r="H147"/>
    </row>
    <row r="148" spans="2:8" x14ac:dyDescent="0.25">
      <c r="B148" s="184" t="s">
        <v>207</v>
      </c>
      <c r="C148" s="184" t="s">
        <v>207</v>
      </c>
      <c r="D148" s="223">
        <v>476136.22</v>
      </c>
      <c r="E148"/>
      <c r="F148"/>
      <c r="G148"/>
      <c r="H148"/>
    </row>
    <row r="149" spans="2:8" x14ac:dyDescent="0.25">
      <c r="B149" s="184" t="s">
        <v>208</v>
      </c>
      <c r="C149" s="184" t="s">
        <v>208</v>
      </c>
      <c r="D149" s="223">
        <v>395125.08</v>
      </c>
      <c r="E149"/>
      <c r="F149"/>
      <c r="G149"/>
      <c r="H149"/>
    </row>
    <row r="150" spans="2:8" x14ac:dyDescent="0.25">
      <c r="B150" s="184" t="s">
        <v>209</v>
      </c>
      <c r="C150" s="184" t="s">
        <v>209</v>
      </c>
      <c r="D150" s="223">
        <v>512710</v>
      </c>
      <c r="E150"/>
      <c r="F150"/>
      <c r="G150"/>
      <c r="H150"/>
    </row>
    <row r="151" spans="2:8" x14ac:dyDescent="0.25">
      <c r="B151" s="184" t="s">
        <v>210</v>
      </c>
      <c r="C151" s="184" t="s">
        <v>210</v>
      </c>
      <c r="D151" s="223">
        <v>0</v>
      </c>
      <c r="E151"/>
      <c r="F151"/>
      <c r="G151"/>
      <c r="H151"/>
    </row>
    <row r="152" spans="2:8" x14ac:dyDescent="0.25">
      <c r="B152" s="184" t="s">
        <v>211</v>
      </c>
      <c r="C152" s="184" t="s">
        <v>211</v>
      </c>
      <c r="D152" s="223">
        <v>0</v>
      </c>
      <c r="E152"/>
      <c r="F152"/>
      <c r="G152"/>
      <c r="H152"/>
    </row>
    <row r="153" spans="2:8" x14ac:dyDescent="0.25">
      <c r="B153" s="184" t="s">
        <v>212</v>
      </c>
      <c r="C153" s="184" t="s">
        <v>212</v>
      </c>
      <c r="D153" s="223">
        <v>79691.070000000007</v>
      </c>
      <c r="E153"/>
      <c r="F153"/>
      <c r="G153"/>
      <c r="H153"/>
    </row>
    <row r="154" spans="2:8" x14ac:dyDescent="0.25">
      <c r="B154" s="224" t="s">
        <v>216</v>
      </c>
      <c r="C154" s="224" t="s">
        <v>216</v>
      </c>
      <c r="D154" s="223">
        <v>0</v>
      </c>
      <c r="E154"/>
      <c r="F154"/>
      <c r="G154"/>
      <c r="H154"/>
    </row>
    <row r="155" spans="2:8" x14ac:dyDescent="0.25">
      <c r="B155" s="184" t="s">
        <v>221</v>
      </c>
      <c r="C155" s="184" t="s">
        <v>221</v>
      </c>
      <c r="D155" s="223">
        <v>0</v>
      </c>
      <c r="E155"/>
      <c r="F155"/>
      <c r="G155"/>
      <c r="H155"/>
    </row>
    <row r="156" spans="2:8" x14ac:dyDescent="0.25">
      <c r="B156" s="184" t="s">
        <v>222</v>
      </c>
      <c r="C156" s="184" t="s">
        <v>222</v>
      </c>
      <c r="D156" s="223">
        <v>0</v>
      </c>
      <c r="E156"/>
      <c r="F156"/>
      <c r="G156"/>
      <c r="H156"/>
    </row>
    <row r="157" spans="2:8" x14ac:dyDescent="0.25">
      <c r="B157" s="184" t="s">
        <v>223</v>
      </c>
      <c r="C157" s="184" t="s">
        <v>223</v>
      </c>
      <c r="D157" s="223">
        <v>0</v>
      </c>
      <c r="E157"/>
      <c r="F157"/>
      <c r="G157"/>
      <c r="H157"/>
    </row>
    <row r="158" spans="2:8" x14ac:dyDescent="0.25">
      <c r="B158" s="184"/>
      <c r="C158" s="184"/>
      <c r="D158" s="216"/>
      <c r="E158"/>
      <c r="F158"/>
      <c r="G158"/>
      <c r="H158"/>
    </row>
    <row r="159" spans="2:8" ht="13.8" thickBot="1" x14ac:dyDescent="0.3">
      <c r="B159" s="184"/>
      <c r="C159" s="227" t="s">
        <v>224</v>
      </c>
      <c r="D159" s="228">
        <f>SUM(D140:D158)</f>
        <v>10668472.210000003</v>
      </c>
      <c r="E159"/>
      <c r="F159"/>
      <c r="G159"/>
      <c r="H159"/>
    </row>
    <row r="160" spans="2:8" ht="13.8" thickTop="1" x14ac:dyDescent="0.25">
      <c r="B160" s="184"/>
      <c r="C160" s="224"/>
      <c r="D160" s="212"/>
      <c r="E160"/>
      <c r="F160"/>
      <c r="G160"/>
      <c r="H160"/>
    </row>
    <row r="161" spans="2:8" x14ac:dyDescent="0.25">
      <c r="B161" s="224" t="s">
        <v>225</v>
      </c>
      <c r="C161" s="184"/>
      <c r="D161" s="223"/>
      <c r="E161"/>
      <c r="F161"/>
      <c r="G161"/>
      <c r="H161"/>
    </row>
    <row r="162" spans="2:8" x14ac:dyDescent="0.25">
      <c r="B162" s="184" t="s">
        <v>199</v>
      </c>
      <c r="C162" s="312" t="s">
        <v>199</v>
      </c>
      <c r="D162" s="223">
        <v>2499179.1199999996</v>
      </c>
      <c r="E162"/>
      <c r="F162"/>
      <c r="G162"/>
      <c r="H162"/>
    </row>
    <row r="163" spans="2:8" x14ac:dyDescent="0.25">
      <c r="B163" s="224" t="s">
        <v>201</v>
      </c>
      <c r="C163" s="224" t="s">
        <v>201</v>
      </c>
      <c r="D163" s="223"/>
      <c r="E163"/>
      <c r="F163"/>
      <c r="G163"/>
      <c r="H163"/>
    </row>
    <row r="164" spans="2:8" x14ac:dyDescent="0.25">
      <c r="B164" s="184" t="s">
        <v>202</v>
      </c>
      <c r="C164" s="184" t="s">
        <v>202</v>
      </c>
      <c r="D164" s="223">
        <v>7300000</v>
      </c>
      <c r="E164"/>
      <c r="F164"/>
      <c r="G164"/>
      <c r="H164"/>
    </row>
    <row r="165" spans="2:8" x14ac:dyDescent="0.25">
      <c r="B165" s="184" t="s">
        <v>203</v>
      </c>
      <c r="C165" s="184" t="s">
        <v>203</v>
      </c>
      <c r="D165" s="223">
        <v>1714503.39</v>
      </c>
      <c r="E165"/>
      <c r="F165"/>
      <c r="G165"/>
      <c r="H165"/>
    </row>
    <row r="166" spans="2:8" x14ac:dyDescent="0.25">
      <c r="B166" s="184" t="s">
        <v>204</v>
      </c>
      <c r="C166" s="184" t="s">
        <v>204</v>
      </c>
      <c r="D166" s="223">
        <v>21886.49</v>
      </c>
      <c r="E166"/>
      <c r="F166"/>
      <c r="G166"/>
      <c r="H166"/>
    </row>
    <row r="167" spans="2:8" x14ac:dyDescent="0.25">
      <c r="B167" s="184" t="s">
        <v>205</v>
      </c>
      <c r="C167" s="184" t="s">
        <v>205</v>
      </c>
      <c r="D167" s="223">
        <v>698521.78999999992</v>
      </c>
      <c r="E167"/>
      <c r="F167"/>
      <c r="G167"/>
      <c r="H167"/>
    </row>
    <row r="168" spans="2:8" x14ac:dyDescent="0.25">
      <c r="B168" s="184" t="s">
        <v>206</v>
      </c>
      <c r="C168" s="184" t="s">
        <v>206</v>
      </c>
      <c r="D168" s="223">
        <v>216168.12</v>
      </c>
      <c r="E168"/>
      <c r="F168"/>
      <c r="G168"/>
      <c r="H168"/>
    </row>
    <row r="169" spans="2:8" x14ac:dyDescent="0.25">
      <c r="B169" s="184" t="s">
        <v>207</v>
      </c>
      <c r="C169" s="184" t="s">
        <v>207</v>
      </c>
      <c r="D169" s="232">
        <v>1508994</v>
      </c>
      <c r="E169"/>
      <c r="F169"/>
      <c r="G169"/>
      <c r="H169"/>
    </row>
    <row r="170" spans="2:8" x14ac:dyDescent="0.25">
      <c r="B170" s="184" t="s">
        <v>208</v>
      </c>
      <c r="C170" s="184" t="s">
        <v>208</v>
      </c>
      <c r="D170" s="232">
        <v>429133</v>
      </c>
      <c r="E170"/>
      <c r="F170"/>
      <c r="G170"/>
      <c r="H170"/>
    </row>
    <row r="171" spans="2:8" x14ac:dyDescent="0.25">
      <c r="B171" s="184" t="s">
        <v>209</v>
      </c>
      <c r="C171" s="184" t="s">
        <v>209</v>
      </c>
      <c r="D171" s="232">
        <v>623915.00000000012</v>
      </c>
      <c r="E171"/>
      <c r="F171"/>
      <c r="G171"/>
      <c r="H171"/>
    </row>
    <row r="172" spans="2:8" x14ac:dyDescent="0.25">
      <c r="B172" s="184" t="s">
        <v>226</v>
      </c>
      <c r="C172" s="184" t="s">
        <v>226</v>
      </c>
      <c r="D172" s="232">
        <v>689113.52999999991</v>
      </c>
      <c r="E172"/>
      <c r="F172"/>
      <c r="G172"/>
      <c r="H172"/>
    </row>
    <row r="173" spans="2:8" x14ac:dyDescent="0.25">
      <c r="B173" s="184" t="s">
        <v>211</v>
      </c>
      <c r="C173" s="184" t="s">
        <v>211</v>
      </c>
      <c r="D173" s="223">
        <v>1081318.3800000001</v>
      </c>
      <c r="E173"/>
      <c r="F173"/>
      <c r="G173"/>
      <c r="H173"/>
    </row>
    <row r="174" spans="2:8" x14ac:dyDescent="0.25">
      <c r="B174" s="184" t="s">
        <v>212</v>
      </c>
      <c r="C174" s="184" t="s">
        <v>212</v>
      </c>
      <c r="D174" s="223">
        <v>94271.45</v>
      </c>
      <c r="E174"/>
      <c r="F174"/>
      <c r="G174"/>
      <c r="H174"/>
    </row>
    <row r="175" spans="2:8" x14ac:dyDescent="0.25">
      <c r="B175" s="224" t="s">
        <v>216</v>
      </c>
      <c r="C175" s="224" t="s">
        <v>216</v>
      </c>
      <c r="D175" s="223">
        <v>0</v>
      </c>
      <c r="E175" s="8"/>
      <c r="F175" s="8"/>
      <c r="G175" s="8"/>
      <c r="H175" s="8"/>
    </row>
    <row r="176" spans="2:8" x14ac:dyDescent="0.25">
      <c r="B176" s="184" t="s">
        <v>244</v>
      </c>
      <c r="C176" s="184" t="s">
        <v>244</v>
      </c>
      <c r="D176" s="223">
        <v>700000</v>
      </c>
      <c r="E176" s="8"/>
      <c r="F176" s="8"/>
      <c r="G176" s="8"/>
      <c r="H176" s="8"/>
    </row>
    <row r="177" spans="2:8" x14ac:dyDescent="0.25">
      <c r="B177" s="234" t="s">
        <v>502</v>
      </c>
      <c r="C177" s="234" t="s">
        <v>502</v>
      </c>
      <c r="D177" s="216">
        <v>0</v>
      </c>
      <c r="E177" s="123" t="s">
        <v>516</v>
      </c>
      <c r="F177"/>
      <c r="G177"/>
      <c r="H177"/>
    </row>
    <row r="178" spans="2:8" x14ac:dyDescent="0.25">
      <c r="B178" s="184"/>
      <c r="C178" s="224"/>
      <c r="D178" s="216"/>
      <c r="E178"/>
      <c r="F178"/>
      <c r="G178"/>
      <c r="H178"/>
    </row>
    <row r="179" spans="2:8" ht="13.8" thickBot="1" x14ac:dyDescent="0.3">
      <c r="B179" s="184"/>
      <c r="C179" s="227" t="s">
        <v>227</v>
      </c>
      <c r="D179" s="228">
        <f>SUM(D162:D177)</f>
        <v>17577004.269999996</v>
      </c>
      <c r="E179"/>
      <c r="F179"/>
      <c r="G179"/>
      <c r="H179"/>
    </row>
    <row r="180" spans="2:8" ht="13.8" thickTop="1" x14ac:dyDescent="0.25">
      <c r="B180" s="184"/>
      <c r="C180" s="184"/>
      <c r="D180" s="216"/>
      <c r="E180"/>
      <c r="F180"/>
      <c r="G180"/>
      <c r="H180"/>
    </row>
    <row r="181" spans="2:8" x14ac:dyDescent="0.25">
      <c r="B181" s="224" t="s">
        <v>228</v>
      </c>
      <c r="C181" s="184"/>
      <c r="D181" s="216"/>
      <c r="E181"/>
      <c r="F181"/>
      <c r="G181"/>
      <c r="H181"/>
    </row>
    <row r="182" spans="2:8" x14ac:dyDescent="0.25">
      <c r="B182" s="184" t="s">
        <v>229</v>
      </c>
      <c r="C182" s="312" t="s">
        <v>229</v>
      </c>
      <c r="D182" s="223">
        <v>0</v>
      </c>
      <c r="E182"/>
      <c r="F182"/>
      <c r="G182"/>
      <c r="H182"/>
    </row>
    <row r="183" spans="2:8" x14ac:dyDescent="0.25">
      <c r="B183" s="184" t="s">
        <v>230</v>
      </c>
      <c r="C183" s="312" t="s">
        <v>230</v>
      </c>
      <c r="D183" s="223">
        <v>0</v>
      </c>
      <c r="E183"/>
      <c r="F183"/>
      <c r="G183"/>
      <c r="H183"/>
    </row>
    <row r="184" spans="2:8" x14ac:dyDescent="0.25">
      <c r="B184" s="184" t="s">
        <v>231</v>
      </c>
      <c r="C184" s="312" t="s">
        <v>231</v>
      </c>
      <c r="D184" s="223">
        <v>0</v>
      </c>
      <c r="E184"/>
      <c r="F184"/>
      <c r="G184"/>
      <c r="H184"/>
    </row>
    <row r="185" spans="2:8" x14ac:dyDescent="0.25">
      <c r="B185" s="184" t="s">
        <v>203</v>
      </c>
      <c r="C185" s="312" t="s">
        <v>203</v>
      </c>
      <c r="D185" s="223">
        <v>2441192.4499999997</v>
      </c>
      <c r="E185" s="342" t="s">
        <v>519</v>
      </c>
      <c r="F185"/>
      <c r="G185"/>
      <c r="H185"/>
    </row>
    <row r="186" spans="2:8" x14ac:dyDescent="0.25">
      <c r="B186" s="184" t="s">
        <v>232</v>
      </c>
      <c r="C186" s="312" t="s">
        <v>232</v>
      </c>
      <c r="D186" s="223">
        <v>0</v>
      </c>
      <c r="E186" t="s">
        <v>501</v>
      </c>
      <c r="F186"/>
      <c r="G186"/>
      <c r="H186"/>
    </row>
    <row r="187" spans="2:8" x14ac:dyDescent="0.25">
      <c r="B187" s="184"/>
      <c r="C187" s="184"/>
      <c r="D187" s="216"/>
      <c r="E187"/>
      <c r="F187"/>
      <c r="G187"/>
      <c r="H187"/>
    </row>
    <row r="188" spans="2:8" ht="13.8" thickBot="1" x14ac:dyDescent="0.3">
      <c r="B188" s="184"/>
      <c r="C188" s="227" t="s">
        <v>233</v>
      </c>
      <c r="D188" s="228">
        <f>SUM(D182:D187)</f>
        <v>2441192.4499999997</v>
      </c>
      <c r="E188"/>
      <c r="F188"/>
      <c r="G188"/>
      <c r="H188"/>
    </row>
    <row r="189" spans="2:8" ht="13.8" thickTop="1" x14ac:dyDescent="0.25">
      <c r="B189" s="184"/>
      <c r="C189" s="184"/>
      <c r="D189" s="216"/>
      <c r="E189"/>
      <c r="F189"/>
      <c r="G189"/>
      <c r="H189"/>
    </row>
    <row r="190" spans="2:8" x14ac:dyDescent="0.25">
      <c r="B190" s="224" t="s">
        <v>234</v>
      </c>
      <c r="C190" s="184"/>
      <c r="D190" s="223"/>
      <c r="E190"/>
      <c r="F190"/>
      <c r="G190"/>
      <c r="H190"/>
    </row>
    <row r="191" spans="2:8" x14ac:dyDescent="0.25">
      <c r="B191" s="184" t="s">
        <v>235</v>
      </c>
      <c r="C191" s="312" t="s">
        <v>235</v>
      </c>
      <c r="D191" s="223">
        <v>222521.52000000002</v>
      </c>
      <c r="E191"/>
      <c r="F191"/>
      <c r="G191"/>
      <c r="H191"/>
    </row>
    <row r="192" spans="2:8" x14ac:dyDescent="0.25">
      <c r="B192" s="184" t="s">
        <v>236</v>
      </c>
      <c r="C192" s="312" t="s">
        <v>236</v>
      </c>
      <c r="D192" s="223">
        <v>1753596.6299999994</v>
      </c>
      <c r="E192"/>
      <c r="F192"/>
      <c r="G192"/>
      <c r="H192"/>
    </row>
    <row r="193" spans="2:8" x14ac:dyDescent="0.25">
      <c r="B193" s="184" t="s">
        <v>237</v>
      </c>
      <c r="C193" s="312" t="s">
        <v>237</v>
      </c>
      <c r="D193" s="223">
        <v>478072</v>
      </c>
      <c r="E193"/>
      <c r="F193"/>
      <c r="G193"/>
      <c r="H193"/>
    </row>
    <row r="194" spans="2:8" x14ac:dyDescent="0.25">
      <c r="B194" s="224" t="s">
        <v>201</v>
      </c>
      <c r="C194" s="224" t="s">
        <v>201</v>
      </c>
      <c r="D194" s="216"/>
      <c r="E194"/>
      <c r="F194"/>
      <c r="G194"/>
      <c r="H194"/>
    </row>
    <row r="195" spans="2:8" x14ac:dyDescent="0.25">
      <c r="B195" s="184" t="s">
        <v>202</v>
      </c>
      <c r="C195" s="184" t="s">
        <v>202</v>
      </c>
      <c r="D195" s="223">
        <v>0</v>
      </c>
      <c r="E195"/>
      <c r="F195"/>
      <c r="G195"/>
      <c r="H195"/>
    </row>
    <row r="196" spans="2:8" x14ac:dyDescent="0.25">
      <c r="B196" s="184" t="s">
        <v>203</v>
      </c>
      <c r="C196" s="184" t="s">
        <v>203</v>
      </c>
      <c r="D196" s="223">
        <v>1184648.29</v>
      </c>
      <c r="E196"/>
      <c r="F196"/>
      <c r="G196"/>
      <c r="H196"/>
    </row>
    <row r="197" spans="2:8" x14ac:dyDescent="0.25">
      <c r="B197" s="184" t="s">
        <v>204</v>
      </c>
      <c r="C197" s="184" t="s">
        <v>204</v>
      </c>
      <c r="D197" s="223">
        <v>424374.56</v>
      </c>
      <c r="E197"/>
      <c r="F197"/>
      <c r="G197"/>
      <c r="H197"/>
    </row>
    <row r="198" spans="2:8" x14ac:dyDescent="0.25">
      <c r="B198" s="184" t="s">
        <v>205</v>
      </c>
      <c r="C198" s="184" t="s">
        <v>205</v>
      </c>
      <c r="D198" s="223">
        <v>809135.75999999989</v>
      </c>
      <c r="E198"/>
      <c r="F198"/>
      <c r="G198"/>
      <c r="H198"/>
    </row>
    <row r="199" spans="2:8" x14ac:dyDescent="0.25">
      <c r="B199" s="184" t="s">
        <v>206</v>
      </c>
      <c r="C199" s="184" t="s">
        <v>206</v>
      </c>
      <c r="D199" s="223">
        <v>0</v>
      </c>
      <c r="E199"/>
      <c r="F199"/>
      <c r="G199"/>
      <c r="H199"/>
    </row>
    <row r="200" spans="2:8" x14ac:dyDescent="0.25">
      <c r="B200" s="184" t="s">
        <v>207</v>
      </c>
      <c r="C200" s="184" t="s">
        <v>207</v>
      </c>
      <c r="D200" s="223">
        <v>19525.150000000001</v>
      </c>
      <c r="E200"/>
      <c r="F200"/>
      <c r="G200"/>
      <c r="H200"/>
    </row>
    <row r="201" spans="2:8" x14ac:dyDescent="0.25">
      <c r="B201" s="184" t="s">
        <v>208</v>
      </c>
      <c r="C201" s="184" t="s">
        <v>208</v>
      </c>
      <c r="D201" s="223">
        <v>258086.28999999998</v>
      </c>
      <c r="E201"/>
      <c r="F201"/>
      <c r="G201"/>
      <c r="H201"/>
    </row>
    <row r="202" spans="2:8" x14ac:dyDescent="0.25">
      <c r="B202" s="184" t="s">
        <v>209</v>
      </c>
      <c r="C202" s="184" t="s">
        <v>209</v>
      </c>
      <c r="D202" s="223">
        <v>282959.26999999996</v>
      </c>
      <c r="E202"/>
      <c r="F202"/>
      <c r="G202"/>
      <c r="H202"/>
    </row>
    <row r="203" spans="2:8" x14ac:dyDescent="0.25">
      <c r="B203" s="184" t="s">
        <v>226</v>
      </c>
      <c r="C203" s="184" t="s">
        <v>226</v>
      </c>
      <c r="D203" s="223">
        <v>338653.17000000004</v>
      </c>
      <c r="E203"/>
      <c r="F203"/>
      <c r="G203"/>
      <c r="H203"/>
    </row>
    <row r="204" spans="2:8" x14ac:dyDescent="0.25">
      <c r="B204" s="184" t="s">
        <v>211</v>
      </c>
      <c r="C204" s="184" t="s">
        <v>211</v>
      </c>
      <c r="D204" s="223">
        <v>504670.47</v>
      </c>
      <c r="E204"/>
      <c r="F204"/>
      <c r="G204"/>
      <c r="H204"/>
    </row>
    <row r="205" spans="2:8" x14ac:dyDescent="0.25">
      <c r="B205" s="184" t="s">
        <v>212</v>
      </c>
      <c r="C205" s="184" t="s">
        <v>212</v>
      </c>
      <c r="D205" s="223">
        <v>77122.069999999992</v>
      </c>
      <c r="E205"/>
      <c r="F205"/>
      <c r="G205"/>
      <c r="H205"/>
    </row>
    <row r="206" spans="2:8" x14ac:dyDescent="0.25">
      <c r="B206" s="184"/>
      <c r="C206" s="184"/>
      <c r="D206" s="216"/>
      <c r="E206"/>
      <c r="F206"/>
      <c r="G206"/>
      <c r="H206"/>
    </row>
    <row r="207" spans="2:8" ht="13.8" thickBot="1" x14ac:dyDescent="0.3">
      <c r="B207" s="184"/>
      <c r="C207" s="227" t="s">
        <v>238</v>
      </c>
      <c r="D207" s="228">
        <f>SUM(D191:D206)</f>
        <v>6353365.1799999997</v>
      </c>
      <c r="E207"/>
      <c r="F207"/>
      <c r="G207"/>
      <c r="H207"/>
    </row>
    <row r="208" spans="2:8" ht="13.8" thickTop="1" x14ac:dyDescent="0.25">
      <c r="B208" s="184"/>
      <c r="C208" s="184"/>
      <c r="D208" s="216"/>
      <c r="E208"/>
      <c r="F208"/>
      <c r="G208"/>
      <c r="H208"/>
    </row>
    <row r="209" spans="2:8" x14ac:dyDescent="0.25">
      <c r="B209" s="224" t="s">
        <v>239</v>
      </c>
      <c r="C209" s="184"/>
      <c r="D209" s="223"/>
      <c r="E209"/>
      <c r="F209"/>
      <c r="G209"/>
      <c r="H209"/>
    </row>
    <row r="210" spans="2:8" x14ac:dyDescent="0.25">
      <c r="B210" s="184" t="s">
        <v>240</v>
      </c>
      <c r="C210" s="312" t="s">
        <v>240</v>
      </c>
      <c r="D210" s="223">
        <v>1058687.83</v>
      </c>
      <c r="E210"/>
      <c r="F210"/>
      <c r="G210"/>
      <c r="H210"/>
    </row>
    <row r="211" spans="2:8" x14ac:dyDescent="0.25">
      <c r="B211" s="184" t="s">
        <v>236</v>
      </c>
      <c r="C211" s="184" t="s">
        <v>236</v>
      </c>
      <c r="D211" s="223">
        <v>0</v>
      </c>
      <c r="E211"/>
      <c r="F211"/>
      <c r="G211"/>
      <c r="H211"/>
    </row>
    <row r="212" spans="2:8" x14ac:dyDescent="0.25">
      <c r="B212" s="184" t="s">
        <v>241</v>
      </c>
      <c r="C212" s="184" t="s">
        <v>241</v>
      </c>
      <c r="D212" s="223">
        <v>0</v>
      </c>
      <c r="E212"/>
      <c r="F212"/>
      <c r="G212"/>
      <c r="H212"/>
    </row>
    <row r="213" spans="2:8" x14ac:dyDescent="0.25">
      <c r="B213" s="184" t="s">
        <v>242</v>
      </c>
      <c r="C213" s="184" t="s">
        <v>242</v>
      </c>
      <c r="D213" s="223">
        <v>0</v>
      </c>
      <c r="E213"/>
      <c r="F213"/>
      <c r="G213"/>
      <c r="H213"/>
    </row>
    <row r="214" spans="2:8" x14ac:dyDescent="0.25">
      <c r="B214" s="184" t="s">
        <v>243</v>
      </c>
      <c r="C214" s="184" t="s">
        <v>243</v>
      </c>
      <c r="D214" s="223">
        <v>0</v>
      </c>
      <c r="E214"/>
      <c r="F214"/>
      <c r="G214"/>
      <c r="H214"/>
    </row>
    <row r="215" spans="2:8" x14ac:dyDescent="0.25">
      <c r="B215" s="224" t="s">
        <v>201</v>
      </c>
      <c r="C215" s="224" t="s">
        <v>201</v>
      </c>
      <c r="D215" s="223"/>
      <c r="E215"/>
      <c r="F215"/>
      <c r="G215"/>
      <c r="H215"/>
    </row>
    <row r="216" spans="2:8" x14ac:dyDescent="0.25">
      <c r="B216" s="184" t="s">
        <v>202</v>
      </c>
      <c r="C216" s="184" t="s">
        <v>202</v>
      </c>
      <c r="D216" s="223">
        <v>0</v>
      </c>
      <c r="E216"/>
      <c r="F216"/>
      <c r="G216"/>
      <c r="H216"/>
    </row>
    <row r="217" spans="2:8" x14ac:dyDescent="0.25">
      <c r="B217" s="184" t="s">
        <v>203</v>
      </c>
      <c r="C217" s="184" t="s">
        <v>203</v>
      </c>
      <c r="D217" s="223">
        <v>2086618.8499999996</v>
      </c>
      <c r="E217"/>
      <c r="F217"/>
      <c r="G217"/>
      <c r="H217"/>
    </row>
    <row r="218" spans="2:8" x14ac:dyDescent="0.25">
      <c r="B218" s="184" t="s">
        <v>204</v>
      </c>
      <c r="C218" s="184" t="s">
        <v>204</v>
      </c>
      <c r="D218" s="223">
        <v>0</v>
      </c>
      <c r="E218"/>
      <c r="F218"/>
      <c r="G218"/>
      <c r="H218"/>
    </row>
    <row r="219" spans="2:8" x14ac:dyDescent="0.25">
      <c r="B219" s="184" t="s">
        <v>205</v>
      </c>
      <c r="C219" s="184" t="s">
        <v>205</v>
      </c>
      <c r="D219" s="223">
        <v>276281.5</v>
      </c>
      <c r="E219"/>
      <c r="F219"/>
      <c r="G219"/>
      <c r="H219"/>
    </row>
    <row r="220" spans="2:8" x14ac:dyDescent="0.25">
      <c r="B220" s="184" t="s">
        <v>206</v>
      </c>
      <c r="C220" s="184" t="s">
        <v>206</v>
      </c>
      <c r="D220" s="223">
        <v>0</v>
      </c>
      <c r="E220"/>
      <c r="F220"/>
      <c r="G220"/>
      <c r="H220"/>
    </row>
    <row r="221" spans="2:8" x14ac:dyDescent="0.25">
      <c r="B221" s="234" t="s">
        <v>207</v>
      </c>
      <c r="C221" s="234" t="s">
        <v>207</v>
      </c>
      <c r="D221" s="238">
        <v>160452.46</v>
      </c>
      <c r="E221"/>
      <c r="F221"/>
      <c r="G221"/>
      <c r="H221"/>
    </row>
    <row r="222" spans="2:8" x14ac:dyDescent="0.25">
      <c r="B222" s="184" t="s">
        <v>208</v>
      </c>
      <c r="C222" s="184" t="s">
        <v>208</v>
      </c>
      <c r="D222" s="223">
        <v>0</v>
      </c>
      <c r="E222"/>
      <c r="F222"/>
      <c r="G222"/>
      <c r="H222"/>
    </row>
    <row r="223" spans="2:8" x14ac:dyDescent="0.25">
      <c r="B223" s="184" t="s">
        <v>209</v>
      </c>
      <c r="C223" s="184" t="s">
        <v>209</v>
      </c>
      <c r="D223" s="223">
        <v>212943.8</v>
      </c>
      <c r="E223"/>
      <c r="F223"/>
      <c r="G223"/>
      <c r="H223"/>
    </row>
    <row r="224" spans="2:8" x14ac:dyDescent="0.25">
      <c r="B224" s="184" t="s">
        <v>226</v>
      </c>
      <c r="C224" s="184" t="s">
        <v>226</v>
      </c>
      <c r="D224" s="223">
        <v>0</v>
      </c>
      <c r="E224"/>
      <c r="F224"/>
      <c r="G224"/>
      <c r="H224"/>
    </row>
    <row r="225" spans="2:8" x14ac:dyDescent="0.25">
      <c r="B225" s="184" t="s">
        <v>211</v>
      </c>
      <c r="C225" s="184" t="s">
        <v>211</v>
      </c>
      <c r="D225" s="223">
        <v>1180075.1099999999</v>
      </c>
      <c r="E225"/>
      <c r="F225"/>
      <c r="G225"/>
      <c r="H225"/>
    </row>
    <row r="226" spans="2:8" x14ac:dyDescent="0.25">
      <c r="B226" s="234" t="s">
        <v>212</v>
      </c>
      <c r="C226" s="234" t="s">
        <v>212</v>
      </c>
      <c r="D226" s="245">
        <v>42434.860000000008</v>
      </c>
      <c r="E226"/>
      <c r="F226"/>
      <c r="G226"/>
      <c r="H226"/>
    </row>
    <row r="227" spans="2:8" x14ac:dyDescent="0.25">
      <c r="B227" s="224" t="s">
        <v>216</v>
      </c>
      <c r="C227" s="224" t="s">
        <v>216</v>
      </c>
      <c r="D227" s="223"/>
      <c r="E227"/>
      <c r="F227"/>
      <c r="G227"/>
      <c r="H227"/>
    </row>
    <row r="228" spans="2:8" x14ac:dyDescent="0.25">
      <c r="B228" s="184" t="s">
        <v>244</v>
      </c>
      <c r="C228" s="184" t="s">
        <v>244</v>
      </c>
      <c r="D228" s="223">
        <v>0</v>
      </c>
      <c r="E228"/>
      <c r="F228"/>
      <c r="G228"/>
      <c r="H228"/>
    </row>
    <row r="229" spans="2:8" x14ac:dyDescent="0.25">
      <c r="B229" s="184" t="s">
        <v>245</v>
      </c>
      <c r="C229" s="184" t="s">
        <v>245</v>
      </c>
      <c r="D229" s="223">
        <v>1374259.93</v>
      </c>
      <c r="E229"/>
      <c r="F229"/>
      <c r="G229"/>
      <c r="H229"/>
    </row>
    <row r="230" spans="2:8" x14ac:dyDescent="0.25">
      <c r="B230" s="184"/>
      <c r="C230" s="224"/>
      <c r="D230" s="223"/>
      <c r="E230"/>
      <c r="F230"/>
      <c r="G230"/>
      <c r="H230"/>
    </row>
    <row r="231" spans="2:8" ht="13.8" thickBot="1" x14ac:dyDescent="0.3">
      <c r="B231" s="184"/>
      <c r="C231" s="227" t="s">
        <v>246</v>
      </c>
      <c r="D231" s="228">
        <f>SUM(D210:D230)</f>
        <v>6391754.3399999989</v>
      </c>
      <c r="E231"/>
      <c r="F231"/>
      <c r="G231"/>
      <c r="H231"/>
    </row>
    <row r="232" spans="2:8" ht="13.8" thickTop="1" x14ac:dyDescent="0.25">
      <c r="B232" s="184"/>
      <c r="C232" s="224"/>
      <c r="D232" s="223"/>
      <c r="E232"/>
      <c r="F232"/>
      <c r="G232"/>
      <c r="H232"/>
    </row>
    <row r="233" spans="2:8" x14ac:dyDescent="0.25">
      <c r="B233" s="224" t="s">
        <v>247</v>
      </c>
      <c r="C233" s="184"/>
      <c r="D233" s="223"/>
      <c r="E233"/>
      <c r="F233"/>
      <c r="G233"/>
      <c r="H233"/>
    </row>
    <row r="234" spans="2:8" x14ac:dyDescent="0.25">
      <c r="B234" s="184" t="s">
        <v>248</v>
      </c>
      <c r="C234" s="312" t="s">
        <v>248</v>
      </c>
      <c r="D234" s="223">
        <v>73368.990000000005</v>
      </c>
      <c r="E234"/>
      <c r="F234"/>
      <c r="G234"/>
      <c r="H234"/>
    </row>
    <row r="235" spans="2:8" x14ac:dyDescent="0.25">
      <c r="B235" s="184" t="s">
        <v>243</v>
      </c>
      <c r="C235" s="184" t="s">
        <v>243</v>
      </c>
      <c r="D235" s="223">
        <v>0</v>
      </c>
      <c r="E235"/>
      <c r="F235"/>
      <c r="G235"/>
      <c r="H235"/>
    </row>
    <row r="236" spans="2:8" x14ac:dyDescent="0.25">
      <c r="B236" s="224" t="s">
        <v>201</v>
      </c>
      <c r="C236" s="224" t="s">
        <v>201</v>
      </c>
      <c r="D236" s="223"/>
      <c r="E236"/>
      <c r="F236"/>
      <c r="G236"/>
      <c r="H236"/>
    </row>
    <row r="237" spans="2:8" x14ac:dyDescent="0.25">
      <c r="B237" s="184" t="s">
        <v>202</v>
      </c>
      <c r="C237" s="184" t="s">
        <v>202</v>
      </c>
      <c r="D237" s="223">
        <v>0</v>
      </c>
      <c r="E237"/>
      <c r="F237"/>
      <c r="G237"/>
      <c r="H237"/>
    </row>
    <row r="238" spans="2:8" x14ac:dyDescent="0.25">
      <c r="B238" s="184" t="s">
        <v>203</v>
      </c>
      <c r="C238" s="184" t="s">
        <v>203</v>
      </c>
      <c r="D238" s="223">
        <v>1026172.55</v>
      </c>
      <c r="E238"/>
      <c r="F238"/>
      <c r="G238"/>
      <c r="H238"/>
    </row>
    <row r="239" spans="2:8" x14ac:dyDescent="0.25">
      <c r="B239" s="184" t="s">
        <v>204</v>
      </c>
      <c r="C239" s="184" t="s">
        <v>204</v>
      </c>
      <c r="D239" s="223">
        <v>519500.06000000011</v>
      </c>
      <c r="E239"/>
      <c r="F239"/>
      <c r="G239"/>
      <c r="H239"/>
    </row>
    <row r="240" spans="2:8" x14ac:dyDescent="0.25">
      <c r="B240" s="184" t="s">
        <v>205</v>
      </c>
      <c r="C240" s="184" t="s">
        <v>205</v>
      </c>
      <c r="D240" s="223">
        <v>1014521.1499999999</v>
      </c>
      <c r="E240"/>
      <c r="F240"/>
      <c r="G240"/>
      <c r="H240"/>
    </row>
    <row r="241" spans="2:8" x14ac:dyDescent="0.25">
      <c r="B241" s="184" t="s">
        <v>206</v>
      </c>
      <c r="C241" s="184" t="s">
        <v>206</v>
      </c>
      <c r="D241" s="223">
        <v>0</v>
      </c>
      <c r="E241"/>
      <c r="F241"/>
      <c r="G241"/>
      <c r="H241"/>
    </row>
    <row r="242" spans="2:8" x14ac:dyDescent="0.25">
      <c r="B242" s="184" t="s">
        <v>207</v>
      </c>
      <c r="C242" s="184" t="s">
        <v>207</v>
      </c>
      <c r="D242" s="223">
        <v>0</v>
      </c>
      <c r="E242"/>
      <c r="F242"/>
      <c r="G242"/>
      <c r="H242"/>
    </row>
    <row r="243" spans="2:8" x14ac:dyDescent="0.25">
      <c r="B243" s="184" t="s">
        <v>208</v>
      </c>
      <c r="C243" s="184" t="s">
        <v>208</v>
      </c>
      <c r="D243" s="223">
        <v>0</v>
      </c>
      <c r="E243"/>
      <c r="F243"/>
      <c r="G243"/>
      <c r="H243"/>
    </row>
    <row r="244" spans="2:8" x14ac:dyDescent="0.25">
      <c r="B244" s="184" t="s">
        <v>209</v>
      </c>
      <c r="C244" s="184" t="s">
        <v>209</v>
      </c>
      <c r="D244" s="223">
        <v>64230.810000000005</v>
      </c>
      <c r="E244"/>
      <c r="F244"/>
      <c r="G244"/>
      <c r="H244"/>
    </row>
    <row r="245" spans="2:8" x14ac:dyDescent="0.25">
      <c r="B245" s="184" t="s">
        <v>226</v>
      </c>
      <c r="C245" s="184" t="s">
        <v>226</v>
      </c>
      <c r="D245" s="223">
        <v>206747.25</v>
      </c>
      <c r="E245"/>
      <c r="F245"/>
      <c r="G245"/>
      <c r="H245"/>
    </row>
    <row r="246" spans="2:8" x14ac:dyDescent="0.25">
      <c r="B246" s="184" t="s">
        <v>211</v>
      </c>
      <c r="C246" s="184" t="s">
        <v>211</v>
      </c>
      <c r="D246" s="223">
        <v>167731.07</v>
      </c>
      <c r="E246"/>
      <c r="F246"/>
      <c r="G246"/>
      <c r="H246"/>
    </row>
    <row r="247" spans="2:8" x14ac:dyDescent="0.25">
      <c r="B247" s="184" t="s">
        <v>212</v>
      </c>
      <c r="C247" s="184" t="s">
        <v>212</v>
      </c>
      <c r="D247" s="223">
        <v>76509.91</v>
      </c>
      <c r="E247"/>
      <c r="F247"/>
      <c r="G247"/>
      <c r="H247"/>
    </row>
    <row r="248" spans="2:8" x14ac:dyDescent="0.25">
      <c r="B248" s="248" t="s">
        <v>216</v>
      </c>
      <c r="C248" s="248" t="s">
        <v>216</v>
      </c>
      <c r="D248" s="223">
        <v>0</v>
      </c>
      <c r="E248"/>
      <c r="F248"/>
      <c r="G248"/>
      <c r="H248"/>
    </row>
    <row r="249" spans="2:8" x14ac:dyDescent="0.25">
      <c r="B249" s="184" t="s">
        <v>251</v>
      </c>
      <c r="C249" s="184" t="s">
        <v>251</v>
      </c>
      <c r="D249" s="223">
        <v>0</v>
      </c>
      <c r="E249"/>
      <c r="F249"/>
      <c r="G249"/>
      <c r="H249"/>
    </row>
    <row r="250" spans="2:8" x14ac:dyDescent="0.25">
      <c r="B250" s="184" t="s">
        <v>252</v>
      </c>
      <c r="C250" s="184" t="s">
        <v>252</v>
      </c>
      <c r="D250" s="223">
        <v>0</v>
      </c>
      <c r="E250"/>
      <c r="F250"/>
      <c r="G250"/>
      <c r="H250"/>
    </row>
    <row r="251" spans="2:8" x14ac:dyDescent="0.25">
      <c r="B251" s="249" t="s">
        <v>253</v>
      </c>
      <c r="C251" s="249" t="s">
        <v>253</v>
      </c>
      <c r="D251" s="223">
        <v>200000</v>
      </c>
      <c r="E251"/>
      <c r="F251"/>
      <c r="G251"/>
      <c r="H251"/>
    </row>
    <row r="252" spans="2:8" x14ac:dyDescent="0.25">
      <c r="B252" s="249" t="s">
        <v>254</v>
      </c>
      <c r="C252" s="249" t="s">
        <v>254</v>
      </c>
      <c r="D252" s="223">
        <v>0</v>
      </c>
      <c r="E252"/>
      <c r="F252"/>
      <c r="G252"/>
      <c r="H252"/>
    </row>
    <row r="253" spans="2:8" x14ac:dyDescent="0.25">
      <c r="B253" s="249" t="s">
        <v>503</v>
      </c>
      <c r="C253" s="249" t="s">
        <v>503</v>
      </c>
      <c r="D253" s="223">
        <v>27571.599999999999</v>
      </c>
      <c r="E253" s="123" t="s">
        <v>516</v>
      </c>
      <c r="F253"/>
      <c r="G253"/>
      <c r="H253"/>
    </row>
    <row r="254" spans="2:8" x14ac:dyDescent="0.25">
      <c r="B254" s="249"/>
      <c r="C254" s="184"/>
      <c r="D254" s="216"/>
      <c r="E254"/>
      <c r="F254"/>
      <c r="G254"/>
      <c r="H254"/>
    </row>
    <row r="255" spans="2:8" ht="13.8" thickBot="1" x14ac:dyDescent="0.3">
      <c r="B255" s="184"/>
      <c r="C255" s="227" t="s">
        <v>255</v>
      </c>
      <c r="D255" s="228">
        <f>SUM(D234:D254)</f>
        <v>3376353.39</v>
      </c>
      <c r="E255"/>
      <c r="F255"/>
      <c r="G255"/>
      <c r="H255"/>
    </row>
    <row r="256" spans="2:8" ht="13.8" thickTop="1" x14ac:dyDescent="0.25">
      <c r="B256" s="184"/>
      <c r="C256" s="224"/>
      <c r="D256" s="212"/>
      <c r="E256"/>
      <c r="F256"/>
      <c r="G256"/>
      <c r="H256"/>
    </row>
    <row r="257" spans="2:8" x14ac:dyDescent="0.25">
      <c r="B257" s="224" t="s">
        <v>256</v>
      </c>
      <c r="C257" s="184"/>
      <c r="D257" s="223"/>
      <c r="E257"/>
      <c r="F257"/>
      <c r="G257"/>
      <c r="H257"/>
    </row>
    <row r="258" spans="2:8" hidden="1" x14ac:dyDescent="0.25">
      <c r="B258" s="184"/>
      <c r="C258" s="329" t="s">
        <v>257</v>
      </c>
      <c r="D258" s="223">
        <v>0</v>
      </c>
      <c r="E258"/>
      <c r="F258"/>
      <c r="G258"/>
      <c r="H258"/>
    </row>
    <row r="259" spans="2:8" hidden="1" x14ac:dyDescent="0.25">
      <c r="B259" s="184"/>
      <c r="C259" s="329" t="s">
        <v>258</v>
      </c>
      <c r="D259" s="223">
        <v>0</v>
      </c>
      <c r="E259"/>
      <c r="F259"/>
      <c r="G259"/>
      <c r="H259"/>
    </row>
    <row r="260" spans="2:8" hidden="1" x14ac:dyDescent="0.25">
      <c r="B260" s="184"/>
      <c r="C260" s="224" t="s">
        <v>201</v>
      </c>
      <c r="D260" s="223"/>
      <c r="E260"/>
      <c r="F260"/>
      <c r="G260"/>
      <c r="H260"/>
    </row>
    <row r="261" spans="2:8" hidden="1" x14ac:dyDescent="0.25">
      <c r="B261" s="184"/>
      <c r="C261" s="329" t="s">
        <v>202</v>
      </c>
      <c r="D261" s="223">
        <v>0</v>
      </c>
      <c r="E261"/>
      <c r="F261"/>
      <c r="G261"/>
      <c r="H261"/>
    </row>
    <row r="262" spans="2:8" x14ac:dyDescent="0.25">
      <c r="B262" s="184" t="s">
        <v>203</v>
      </c>
      <c r="C262" s="184" t="s">
        <v>203</v>
      </c>
      <c r="D262" s="223">
        <v>1504377.0999999999</v>
      </c>
      <c r="E262"/>
      <c r="F262"/>
      <c r="G262"/>
      <c r="H262"/>
    </row>
    <row r="263" spans="2:8" x14ac:dyDescent="0.25">
      <c r="B263" s="184" t="s">
        <v>204</v>
      </c>
      <c r="C263" s="184" t="s">
        <v>204</v>
      </c>
      <c r="D263" s="223">
        <v>1473.29</v>
      </c>
      <c r="E263"/>
      <c r="F263"/>
      <c r="G263"/>
      <c r="H263"/>
    </row>
    <row r="264" spans="2:8" hidden="1" x14ac:dyDescent="0.25">
      <c r="B264" s="184" t="s">
        <v>205</v>
      </c>
      <c r="C264" s="329" t="s">
        <v>205</v>
      </c>
      <c r="D264" s="223">
        <v>0</v>
      </c>
      <c r="E264"/>
      <c r="F264"/>
      <c r="G264"/>
      <c r="H264"/>
    </row>
    <row r="265" spans="2:8" hidden="1" x14ac:dyDescent="0.25">
      <c r="B265" s="184" t="s">
        <v>206</v>
      </c>
      <c r="C265" s="329" t="s">
        <v>206</v>
      </c>
      <c r="D265" s="223">
        <v>0</v>
      </c>
      <c r="E265"/>
      <c r="F265"/>
      <c r="G265"/>
      <c r="H265"/>
    </row>
    <row r="266" spans="2:8" x14ac:dyDescent="0.25">
      <c r="B266" s="184" t="s">
        <v>207</v>
      </c>
      <c r="C266" s="184" t="s">
        <v>207</v>
      </c>
      <c r="D266" s="223">
        <v>351872.02</v>
      </c>
      <c r="E266"/>
      <c r="F266"/>
      <c r="G266"/>
      <c r="H266"/>
    </row>
    <row r="267" spans="2:8" hidden="1" x14ac:dyDescent="0.25">
      <c r="B267" s="184" t="s">
        <v>208</v>
      </c>
      <c r="C267" s="329" t="s">
        <v>208</v>
      </c>
      <c r="D267" s="223">
        <v>0</v>
      </c>
      <c r="E267"/>
      <c r="F267"/>
      <c r="G267"/>
      <c r="H267"/>
    </row>
    <row r="268" spans="2:8" x14ac:dyDescent="0.25">
      <c r="B268" s="184" t="s">
        <v>209</v>
      </c>
      <c r="C268" s="184" t="s">
        <v>209</v>
      </c>
      <c r="D268" s="223">
        <v>33258.36</v>
      </c>
      <c r="E268"/>
      <c r="F268"/>
      <c r="G268"/>
      <c r="H268"/>
    </row>
    <row r="269" spans="2:8" x14ac:dyDescent="0.25">
      <c r="B269" s="184" t="s">
        <v>226</v>
      </c>
      <c r="C269" s="184" t="s">
        <v>226</v>
      </c>
      <c r="D269" s="223">
        <v>0</v>
      </c>
      <c r="E269"/>
      <c r="F269"/>
      <c r="G269"/>
      <c r="H269"/>
    </row>
    <row r="270" spans="2:8" x14ac:dyDescent="0.25">
      <c r="B270" s="184" t="s">
        <v>211</v>
      </c>
      <c r="C270" s="184" t="s">
        <v>211</v>
      </c>
      <c r="D270" s="223">
        <v>29094.27</v>
      </c>
      <c r="E270"/>
      <c r="F270"/>
      <c r="G270"/>
      <c r="H270"/>
    </row>
    <row r="271" spans="2:8" x14ac:dyDescent="0.25">
      <c r="B271" s="184" t="s">
        <v>212</v>
      </c>
      <c r="C271" s="184" t="s">
        <v>212</v>
      </c>
      <c r="D271" s="223">
        <v>275132.16000000003</v>
      </c>
      <c r="E271"/>
      <c r="F271"/>
      <c r="G271"/>
      <c r="H271"/>
    </row>
    <row r="272" spans="2:8" x14ac:dyDescent="0.25">
      <c r="B272" s="224" t="s">
        <v>216</v>
      </c>
      <c r="C272" s="224" t="s">
        <v>216</v>
      </c>
      <c r="D272" s="223"/>
      <c r="E272"/>
      <c r="F272"/>
      <c r="G272"/>
      <c r="H272"/>
    </row>
    <row r="273" spans="2:8" x14ac:dyDescent="0.25">
      <c r="B273" s="184" t="s">
        <v>259</v>
      </c>
      <c r="C273" s="184" t="s">
        <v>259</v>
      </c>
      <c r="D273" s="223">
        <v>0</v>
      </c>
      <c r="E273"/>
      <c r="F273"/>
      <c r="G273"/>
      <c r="H273"/>
    </row>
    <row r="274" spans="2:8" x14ac:dyDescent="0.25">
      <c r="B274" s="184"/>
      <c r="C274" s="184"/>
      <c r="D274" s="216"/>
      <c r="E274"/>
      <c r="F274"/>
      <c r="G274"/>
      <c r="H274"/>
    </row>
    <row r="275" spans="2:8" ht="13.8" thickBot="1" x14ac:dyDescent="0.3">
      <c r="B275" s="184"/>
      <c r="C275" s="227" t="s">
        <v>260</v>
      </c>
      <c r="D275" s="228">
        <f>SUM(D258:D274)</f>
        <v>2195207.2000000002</v>
      </c>
      <c r="E275"/>
      <c r="F275"/>
      <c r="G275"/>
      <c r="H275"/>
    </row>
    <row r="276" spans="2:8" ht="13.8" thickTop="1" x14ac:dyDescent="0.25">
      <c r="B276" s="184"/>
      <c r="C276" s="184"/>
      <c r="D276" s="216"/>
      <c r="E276"/>
      <c r="F276"/>
      <c r="G276"/>
      <c r="H276"/>
    </row>
    <row r="277" spans="2:8" x14ac:dyDescent="0.25">
      <c r="B277" s="224" t="s">
        <v>261</v>
      </c>
      <c r="C277" s="184"/>
      <c r="D277" s="216"/>
      <c r="E277"/>
      <c r="F277"/>
      <c r="G277"/>
      <c r="H277"/>
    </row>
    <row r="278" spans="2:8" x14ac:dyDescent="0.25">
      <c r="B278" s="184"/>
      <c r="C278" s="184" t="s">
        <v>257</v>
      </c>
      <c r="D278" s="223">
        <v>0</v>
      </c>
      <c r="E278" s="123" t="s">
        <v>504</v>
      </c>
      <c r="F278"/>
      <c r="G278"/>
      <c r="H278"/>
    </row>
    <row r="279" spans="2:8" x14ac:dyDescent="0.25">
      <c r="B279" s="184"/>
      <c r="C279" s="224" t="s">
        <v>201</v>
      </c>
      <c r="D279" s="216"/>
      <c r="E279"/>
      <c r="F279"/>
      <c r="G279"/>
      <c r="H279"/>
    </row>
    <row r="280" spans="2:8" x14ac:dyDescent="0.25">
      <c r="B280" s="184" t="s">
        <v>202</v>
      </c>
      <c r="C280" s="184" t="s">
        <v>202</v>
      </c>
      <c r="D280" s="223">
        <v>0</v>
      </c>
      <c r="E280"/>
      <c r="F280"/>
      <c r="G280"/>
      <c r="H280"/>
    </row>
    <row r="281" spans="2:8" x14ac:dyDescent="0.25">
      <c r="B281" s="184" t="s">
        <v>203</v>
      </c>
      <c r="C281" s="184" t="s">
        <v>203</v>
      </c>
      <c r="D281" s="223">
        <v>1575389.58</v>
      </c>
      <c r="E281"/>
      <c r="F281"/>
      <c r="G281"/>
      <c r="H281"/>
    </row>
    <row r="282" spans="2:8" hidden="1" x14ac:dyDescent="0.25">
      <c r="B282" s="184" t="s">
        <v>204</v>
      </c>
      <c r="C282" s="329" t="s">
        <v>204</v>
      </c>
      <c r="D282" s="223">
        <v>0</v>
      </c>
      <c r="E282"/>
      <c r="F282"/>
      <c r="G282"/>
      <c r="H282"/>
    </row>
    <row r="283" spans="2:8" hidden="1" x14ac:dyDescent="0.25">
      <c r="B283" s="184" t="s">
        <v>205</v>
      </c>
      <c r="C283" s="329" t="s">
        <v>205</v>
      </c>
      <c r="D283" s="223">
        <v>0</v>
      </c>
      <c r="E283"/>
      <c r="F283"/>
      <c r="G283"/>
      <c r="H283"/>
    </row>
    <row r="284" spans="2:8" hidden="1" x14ac:dyDescent="0.25">
      <c r="B284" s="184" t="s">
        <v>206</v>
      </c>
      <c r="C284" s="329" t="s">
        <v>206</v>
      </c>
      <c r="D284" s="223">
        <v>0</v>
      </c>
      <c r="E284"/>
      <c r="F284"/>
      <c r="G284"/>
      <c r="H284"/>
    </row>
    <row r="285" spans="2:8" x14ac:dyDescent="0.25">
      <c r="B285" s="184" t="s">
        <v>207</v>
      </c>
      <c r="C285" s="184" t="s">
        <v>207</v>
      </c>
      <c r="D285" s="223">
        <v>73984.89</v>
      </c>
      <c r="E285"/>
      <c r="F285"/>
      <c r="G285"/>
      <c r="H285"/>
    </row>
    <row r="286" spans="2:8" x14ac:dyDescent="0.25">
      <c r="B286" s="184" t="s">
        <v>208</v>
      </c>
      <c r="C286" s="184" t="s">
        <v>208</v>
      </c>
      <c r="D286" s="223">
        <v>0</v>
      </c>
      <c r="E286"/>
      <c r="F286"/>
      <c r="G286"/>
      <c r="H286"/>
    </row>
    <row r="287" spans="2:8" x14ac:dyDescent="0.25">
      <c r="B287" s="184" t="s">
        <v>209</v>
      </c>
      <c r="C287" s="184" t="s">
        <v>209</v>
      </c>
      <c r="D287" s="223">
        <v>44154.12</v>
      </c>
      <c r="E287"/>
      <c r="F287"/>
      <c r="G287"/>
      <c r="H287"/>
    </row>
    <row r="288" spans="2:8" x14ac:dyDescent="0.25">
      <c r="B288" s="184" t="s">
        <v>226</v>
      </c>
      <c r="C288" s="184" t="s">
        <v>226</v>
      </c>
      <c r="D288" s="223">
        <v>0</v>
      </c>
      <c r="E288"/>
      <c r="F288"/>
      <c r="G288"/>
      <c r="H288"/>
    </row>
    <row r="289" spans="2:8" x14ac:dyDescent="0.25">
      <c r="B289" s="184" t="s">
        <v>211</v>
      </c>
      <c r="C289" s="184" t="s">
        <v>211</v>
      </c>
      <c r="D289" s="223">
        <v>33572.51</v>
      </c>
      <c r="E289"/>
      <c r="F289"/>
      <c r="G289"/>
      <c r="H289"/>
    </row>
    <row r="290" spans="2:8" x14ac:dyDescent="0.25">
      <c r="B290" s="184" t="s">
        <v>212</v>
      </c>
      <c r="C290" s="184" t="s">
        <v>212</v>
      </c>
      <c r="D290" s="223">
        <v>0</v>
      </c>
      <c r="E290"/>
      <c r="F290"/>
      <c r="G290"/>
      <c r="H290"/>
    </row>
    <row r="291" spans="2:8" x14ac:dyDescent="0.25">
      <c r="B291" s="224" t="s">
        <v>216</v>
      </c>
      <c r="C291" s="224" t="s">
        <v>216</v>
      </c>
      <c r="D291" s="223"/>
      <c r="E291"/>
      <c r="F291"/>
      <c r="G291"/>
      <c r="H291"/>
    </row>
    <row r="292" spans="2:8" x14ac:dyDescent="0.25">
      <c r="B292" s="184"/>
      <c r="C292" s="184"/>
      <c r="D292" s="216"/>
      <c r="E292"/>
      <c r="F292"/>
      <c r="G292"/>
      <c r="H292"/>
    </row>
    <row r="293" spans="2:8" ht="13.8" thickBot="1" x14ac:dyDescent="0.3">
      <c r="B293" s="184"/>
      <c r="C293" s="227" t="s">
        <v>262</v>
      </c>
      <c r="D293" s="251">
        <f>SUM(D278:D292)</f>
        <v>1727101.1</v>
      </c>
      <c r="E293"/>
      <c r="F293"/>
      <c r="G293"/>
      <c r="H293"/>
    </row>
    <row r="294" spans="2:8" ht="13.8" thickTop="1" x14ac:dyDescent="0.25">
      <c r="B294" s="184"/>
      <c r="C294" s="184"/>
      <c r="D294" s="216"/>
      <c r="E294"/>
      <c r="F294"/>
      <c r="G294"/>
      <c r="H294"/>
    </row>
    <row r="295" spans="2:8" x14ac:dyDescent="0.25">
      <c r="B295" s="224" t="s">
        <v>263</v>
      </c>
      <c r="C295" s="184"/>
      <c r="D295" s="216"/>
      <c r="E295"/>
      <c r="F295"/>
      <c r="G295"/>
      <c r="H295"/>
    </row>
    <row r="296" spans="2:8" x14ac:dyDescent="0.25">
      <c r="B296" s="184" t="s">
        <v>264</v>
      </c>
      <c r="C296" s="184" t="s">
        <v>264</v>
      </c>
      <c r="D296" s="223">
        <v>0</v>
      </c>
      <c r="E296"/>
      <c r="F296"/>
      <c r="G296"/>
      <c r="H296"/>
    </row>
    <row r="297" spans="2:8" x14ac:dyDescent="0.25">
      <c r="B297" s="184" t="s">
        <v>257</v>
      </c>
      <c r="C297" s="184" t="s">
        <v>257</v>
      </c>
      <c r="D297" s="223">
        <v>0</v>
      </c>
      <c r="E297"/>
      <c r="F297"/>
      <c r="G297"/>
      <c r="H297"/>
    </row>
    <row r="298" spans="2:8" x14ac:dyDescent="0.25">
      <c r="B298" s="184" t="s">
        <v>265</v>
      </c>
      <c r="C298" s="184" t="s">
        <v>265</v>
      </c>
      <c r="D298" s="223">
        <v>0</v>
      </c>
      <c r="E298"/>
      <c r="F298"/>
      <c r="G298"/>
      <c r="H298"/>
    </row>
    <row r="299" spans="2:8" x14ac:dyDescent="0.25">
      <c r="B299" s="224" t="s">
        <v>201</v>
      </c>
      <c r="C299" s="224" t="s">
        <v>201</v>
      </c>
      <c r="D299" s="223"/>
      <c r="E299"/>
      <c r="F299"/>
      <c r="G299"/>
      <c r="H299"/>
    </row>
    <row r="300" spans="2:8" x14ac:dyDescent="0.25">
      <c r="B300" s="184" t="s">
        <v>202</v>
      </c>
      <c r="C300" s="184" t="s">
        <v>202</v>
      </c>
      <c r="D300" s="223">
        <v>0</v>
      </c>
      <c r="E300"/>
      <c r="F300"/>
      <c r="G300"/>
      <c r="H300"/>
    </row>
    <row r="301" spans="2:8" x14ac:dyDescent="0.25">
      <c r="B301" s="184" t="s">
        <v>203</v>
      </c>
      <c r="C301" s="184" t="s">
        <v>203</v>
      </c>
      <c r="D301" s="223">
        <v>89533.01</v>
      </c>
      <c r="E301"/>
      <c r="F301"/>
      <c r="G301"/>
      <c r="H301"/>
    </row>
    <row r="302" spans="2:8" x14ac:dyDescent="0.25">
      <c r="B302" s="184" t="s">
        <v>204</v>
      </c>
      <c r="C302" s="184" t="s">
        <v>204</v>
      </c>
      <c r="D302" s="223">
        <v>0</v>
      </c>
      <c r="E302"/>
      <c r="F302"/>
      <c r="G302"/>
      <c r="H302"/>
    </row>
    <row r="303" spans="2:8" x14ac:dyDescent="0.25">
      <c r="B303" s="184" t="s">
        <v>205</v>
      </c>
      <c r="C303" s="184" t="s">
        <v>205</v>
      </c>
      <c r="D303" s="223">
        <v>0</v>
      </c>
      <c r="E303"/>
      <c r="F303"/>
      <c r="G303"/>
      <c r="H303"/>
    </row>
    <row r="304" spans="2:8" x14ac:dyDescent="0.25">
      <c r="B304" s="184" t="s">
        <v>206</v>
      </c>
      <c r="C304" s="184" t="s">
        <v>206</v>
      </c>
      <c r="D304" s="223">
        <v>0</v>
      </c>
      <c r="E304"/>
      <c r="F304"/>
      <c r="G304"/>
      <c r="H304"/>
    </row>
    <row r="305" spans="2:8" x14ac:dyDescent="0.25">
      <c r="B305" s="184" t="s">
        <v>207</v>
      </c>
      <c r="C305" s="184" t="s">
        <v>207</v>
      </c>
      <c r="D305" s="223">
        <v>0</v>
      </c>
      <c r="E305"/>
      <c r="F305"/>
      <c r="G305"/>
      <c r="H305"/>
    </row>
    <row r="306" spans="2:8" x14ac:dyDescent="0.25">
      <c r="B306" s="184" t="s">
        <v>208</v>
      </c>
      <c r="C306" s="184" t="s">
        <v>208</v>
      </c>
      <c r="D306" s="223">
        <v>0</v>
      </c>
      <c r="E306"/>
      <c r="F306"/>
      <c r="G306"/>
      <c r="H306"/>
    </row>
    <row r="307" spans="2:8" x14ac:dyDescent="0.25">
      <c r="B307" s="184" t="s">
        <v>209</v>
      </c>
      <c r="C307" s="184" t="s">
        <v>209</v>
      </c>
      <c r="D307" s="223">
        <v>9878.9699999999993</v>
      </c>
      <c r="E307"/>
      <c r="F307"/>
      <c r="G307"/>
      <c r="H307"/>
    </row>
    <row r="308" spans="2:8" x14ac:dyDescent="0.25">
      <c r="B308" s="184" t="s">
        <v>226</v>
      </c>
      <c r="C308" s="184" t="s">
        <v>226</v>
      </c>
      <c r="D308" s="223">
        <v>0</v>
      </c>
      <c r="E308"/>
      <c r="F308"/>
      <c r="G308"/>
      <c r="H308"/>
    </row>
    <row r="309" spans="2:8" x14ac:dyDescent="0.25">
      <c r="B309" s="184" t="s">
        <v>211</v>
      </c>
      <c r="C309" s="184" t="s">
        <v>211</v>
      </c>
      <c r="D309" s="223">
        <v>0</v>
      </c>
      <c r="E309"/>
      <c r="F309"/>
      <c r="G309"/>
      <c r="H309"/>
    </row>
    <row r="310" spans="2:8" x14ac:dyDescent="0.25">
      <c r="B310" s="184" t="s">
        <v>212</v>
      </c>
      <c r="C310" s="184" t="s">
        <v>212</v>
      </c>
      <c r="D310" s="223">
        <v>0</v>
      </c>
      <c r="E310"/>
      <c r="F310"/>
      <c r="G310"/>
      <c r="H310"/>
    </row>
    <row r="311" spans="2:8" x14ac:dyDescent="0.25">
      <c r="B311" s="224" t="s">
        <v>216</v>
      </c>
      <c r="C311" s="224" t="s">
        <v>216</v>
      </c>
      <c r="D311" s="223"/>
      <c r="E311"/>
      <c r="F311"/>
      <c r="G311"/>
      <c r="H311"/>
    </row>
    <row r="312" spans="2:8" x14ac:dyDescent="0.25">
      <c r="B312" s="184" t="s">
        <v>266</v>
      </c>
      <c r="C312" s="184" t="s">
        <v>266</v>
      </c>
      <c r="D312" s="223">
        <v>0</v>
      </c>
      <c r="E312"/>
      <c r="F312"/>
      <c r="G312"/>
      <c r="H312"/>
    </row>
    <row r="313" spans="2:8" x14ac:dyDescent="0.25">
      <c r="B313" s="184" t="s">
        <v>245</v>
      </c>
      <c r="C313" s="184" t="s">
        <v>245</v>
      </c>
      <c r="D313" s="223">
        <v>0</v>
      </c>
      <c r="E313"/>
      <c r="F313"/>
      <c r="G313"/>
      <c r="H313"/>
    </row>
    <row r="314" spans="2:8" x14ac:dyDescent="0.25">
      <c r="B314" s="184"/>
      <c r="C314" s="184"/>
      <c r="D314" s="216"/>
      <c r="E314"/>
      <c r="F314"/>
      <c r="G314"/>
      <c r="H314"/>
    </row>
    <row r="315" spans="2:8" ht="13.8" thickBot="1" x14ac:dyDescent="0.3">
      <c r="B315" s="184"/>
      <c r="C315" s="227" t="s">
        <v>267</v>
      </c>
      <c r="D315" s="252">
        <f>SUM(D296:D314)</f>
        <v>99411.98</v>
      </c>
      <c r="E315"/>
      <c r="F315"/>
      <c r="G315"/>
      <c r="H315"/>
    </row>
    <row r="316" spans="2:8" ht="13.8" thickTop="1" x14ac:dyDescent="0.25">
      <c r="B316" s="184"/>
      <c r="C316" s="184"/>
      <c r="D316" s="216"/>
      <c r="E316"/>
      <c r="F316"/>
      <c r="G316"/>
      <c r="H316"/>
    </row>
    <row r="317" spans="2:8" x14ac:dyDescent="0.25">
      <c r="B317" s="224" t="s">
        <v>198</v>
      </c>
      <c r="C317" s="184"/>
      <c r="D317" s="216"/>
      <c r="E317"/>
      <c r="F317"/>
      <c r="G317"/>
      <c r="H317"/>
    </row>
    <row r="318" spans="2:8" hidden="1" x14ac:dyDescent="0.25">
      <c r="B318" s="184"/>
      <c r="C318" s="329" t="s">
        <v>268</v>
      </c>
      <c r="D318" s="232">
        <v>0</v>
      </c>
      <c r="E318"/>
      <c r="F318"/>
      <c r="G318"/>
      <c r="H318"/>
    </row>
    <row r="319" spans="2:8" hidden="1" x14ac:dyDescent="0.25">
      <c r="B319" s="184"/>
      <c r="C319" s="329" t="s">
        <v>269</v>
      </c>
      <c r="D319" s="232">
        <v>0</v>
      </c>
      <c r="E319"/>
      <c r="F319"/>
      <c r="G319"/>
      <c r="H319"/>
    </row>
    <row r="320" spans="2:8" hidden="1" x14ac:dyDescent="0.25">
      <c r="B320" s="184"/>
      <c r="C320" s="224" t="s">
        <v>201</v>
      </c>
      <c r="D320" s="216"/>
      <c r="E320"/>
      <c r="F320"/>
      <c r="G320"/>
      <c r="H320"/>
    </row>
    <row r="321" spans="2:8" hidden="1" x14ac:dyDescent="0.25">
      <c r="B321" s="184"/>
      <c r="C321" s="329" t="s">
        <v>202</v>
      </c>
      <c r="D321" s="223">
        <v>0</v>
      </c>
      <c r="E321"/>
      <c r="F321"/>
      <c r="G321"/>
      <c r="H321"/>
    </row>
    <row r="322" spans="2:8" x14ac:dyDescent="0.25">
      <c r="B322" s="184" t="s">
        <v>203</v>
      </c>
      <c r="C322" s="184" t="s">
        <v>203</v>
      </c>
      <c r="D322" s="223">
        <v>16004.89</v>
      </c>
      <c r="E322"/>
      <c r="F322"/>
      <c r="G322"/>
      <c r="H322"/>
    </row>
    <row r="323" spans="2:8" x14ac:dyDescent="0.25">
      <c r="B323" s="184" t="s">
        <v>204</v>
      </c>
      <c r="C323" s="184" t="s">
        <v>204</v>
      </c>
      <c r="D323" s="223">
        <v>0</v>
      </c>
      <c r="E323"/>
      <c r="F323"/>
      <c r="G323"/>
      <c r="H323"/>
    </row>
    <row r="324" spans="2:8" x14ac:dyDescent="0.25">
      <c r="B324" s="184" t="s">
        <v>205</v>
      </c>
      <c r="C324" s="184" t="s">
        <v>205</v>
      </c>
      <c r="D324" s="223">
        <v>0</v>
      </c>
      <c r="E324"/>
      <c r="F324"/>
      <c r="G324"/>
      <c r="H324"/>
    </row>
    <row r="325" spans="2:8" x14ac:dyDescent="0.25">
      <c r="B325" s="184" t="s">
        <v>206</v>
      </c>
      <c r="C325" s="184" t="s">
        <v>206</v>
      </c>
      <c r="D325" s="223">
        <v>0</v>
      </c>
      <c r="E325"/>
      <c r="F325"/>
      <c r="G325"/>
      <c r="H325"/>
    </row>
    <row r="326" spans="2:8" x14ac:dyDescent="0.25">
      <c r="B326" s="184" t="s">
        <v>207</v>
      </c>
      <c r="C326" s="184" t="s">
        <v>207</v>
      </c>
      <c r="D326" s="223">
        <v>0</v>
      </c>
      <c r="E326"/>
      <c r="F326"/>
      <c r="G326"/>
      <c r="H326"/>
    </row>
    <row r="327" spans="2:8" x14ac:dyDescent="0.25">
      <c r="B327" s="184" t="s">
        <v>208</v>
      </c>
      <c r="C327" s="184" t="s">
        <v>208</v>
      </c>
      <c r="D327" s="223">
        <v>0</v>
      </c>
      <c r="E327"/>
      <c r="F327"/>
      <c r="G327"/>
      <c r="H327"/>
    </row>
    <row r="328" spans="2:8" x14ac:dyDescent="0.25">
      <c r="B328" s="184" t="s">
        <v>209</v>
      </c>
      <c r="C328" s="184" t="s">
        <v>209</v>
      </c>
      <c r="D328" s="223">
        <v>0</v>
      </c>
      <c r="E328"/>
      <c r="F328"/>
      <c r="G328"/>
      <c r="H328"/>
    </row>
    <row r="329" spans="2:8" x14ac:dyDescent="0.25">
      <c r="B329" s="184" t="s">
        <v>226</v>
      </c>
      <c r="C329" s="184" t="s">
        <v>226</v>
      </c>
      <c r="D329" s="223">
        <v>0</v>
      </c>
      <c r="E329"/>
      <c r="F329"/>
      <c r="G329"/>
      <c r="H329"/>
    </row>
    <row r="330" spans="2:8" x14ac:dyDescent="0.25">
      <c r="B330" s="184" t="s">
        <v>211</v>
      </c>
      <c r="C330" s="184" t="s">
        <v>211</v>
      </c>
      <c r="D330" s="223">
        <v>0</v>
      </c>
      <c r="E330"/>
      <c r="F330"/>
      <c r="G330"/>
      <c r="H330"/>
    </row>
    <row r="331" spans="2:8" x14ac:dyDescent="0.25">
      <c r="B331" s="184" t="s">
        <v>212</v>
      </c>
      <c r="C331" s="184" t="s">
        <v>212</v>
      </c>
      <c r="D331" s="223">
        <v>2521.69</v>
      </c>
      <c r="E331"/>
      <c r="F331"/>
      <c r="G331"/>
      <c r="H331"/>
    </row>
    <row r="332" spans="2:8" x14ac:dyDescent="0.25">
      <c r="B332" s="224" t="s">
        <v>216</v>
      </c>
      <c r="C332" s="224" t="s">
        <v>216</v>
      </c>
      <c r="D332" s="223"/>
      <c r="E332"/>
      <c r="F332"/>
      <c r="G332"/>
      <c r="H332"/>
    </row>
    <row r="333" spans="2:8" hidden="1" x14ac:dyDescent="0.25">
      <c r="B333" s="184" t="s">
        <v>271</v>
      </c>
      <c r="C333" s="329" t="s">
        <v>271</v>
      </c>
      <c r="D333" s="223">
        <v>0</v>
      </c>
      <c r="E333"/>
      <c r="F333"/>
      <c r="G333"/>
      <c r="H333"/>
    </row>
    <row r="334" spans="2:8" hidden="1" x14ac:dyDescent="0.25">
      <c r="B334" s="184" t="s">
        <v>272</v>
      </c>
      <c r="C334" s="329" t="s">
        <v>272</v>
      </c>
      <c r="D334" s="223">
        <v>0</v>
      </c>
      <c r="E334"/>
      <c r="F334"/>
      <c r="G334"/>
      <c r="H334"/>
    </row>
    <row r="335" spans="2:8" hidden="1" x14ac:dyDescent="0.25">
      <c r="B335" s="184" t="s">
        <v>273</v>
      </c>
      <c r="C335" s="329" t="s">
        <v>273</v>
      </c>
      <c r="D335" s="223">
        <v>0</v>
      </c>
      <c r="E335"/>
      <c r="F335"/>
      <c r="G335"/>
      <c r="H335"/>
    </row>
    <row r="336" spans="2:8" x14ac:dyDescent="0.25">
      <c r="B336" s="184"/>
      <c r="C336" s="184"/>
      <c r="D336" s="216"/>
      <c r="E336"/>
      <c r="F336"/>
      <c r="G336"/>
      <c r="H336"/>
    </row>
    <row r="337" spans="2:8" ht="13.8" thickBot="1" x14ac:dyDescent="0.3">
      <c r="B337" s="184"/>
      <c r="C337" s="227" t="s">
        <v>218</v>
      </c>
      <c r="D337" s="252">
        <f>SUM(D318:D336)</f>
        <v>18526.579999999998</v>
      </c>
      <c r="E337"/>
      <c r="F337"/>
      <c r="G337"/>
      <c r="H337"/>
    </row>
    <row r="338" spans="2:8" ht="13.8" thickTop="1" x14ac:dyDescent="0.25">
      <c r="B338" s="184"/>
      <c r="C338" s="184"/>
      <c r="D338" s="232"/>
      <c r="E338"/>
      <c r="F338"/>
      <c r="G338"/>
      <c r="H338"/>
    </row>
    <row r="339" spans="2:8" x14ac:dyDescent="0.25">
      <c r="B339" s="224" t="s">
        <v>274</v>
      </c>
      <c r="C339" s="184"/>
      <c r="D339" s="216"/>
      <c r="E339"/>
      <c r="F339"/>
      <c r="G339"/>
      <c r="H339"/>
    </row>
    <row r="340" spans="2:8" x14ac:dyDescent="0.25">
      <c r="B340" s="184" t="s">
        <v>504</v>
      </c>
      <c r="C340" s="184" t="s">
        <v>268</v>
      </c>
      <c r="D340" s="232">
        <v>0</v>
      </c>
      <c r="E340"/>
      <c r="F340"/>
      <c r="G340"/>
      <c r="H340"/>
    </row>
    <row r="341" spans="2:8" x14ac:dyDescent="0.25">
      <c r="B341" s="184" t="s">
        <v>504</v>
      </c>
      <c r="C341" s="184" t="s">
        <v>275</v>
      </c>
      <c r="D341" s="232">
        <v>0</v>
      </c>
      <c r="E341"/>
      <c r="F341"/>
      <c r="G341"/>
      <c r="H341"/>
    </row>
    <row r="342" spans="2:8" x14ac:dyDescent="0.25">
      <c r="B342" s="184"/>
      <c r="C342" s="224" t="s">
        <v>201</v>
      </c>
      <c r="D342" s="216"/>
      <c r="E342"/>
      <c r="F342"/>
      <c r="G342"/>
      <c r="H342"/>
    </row>
    <row r="343" spans="2:8" hidden="1" x14ac:dyDescent="0.25">
      <c r="B343" s="184"/>
      <c r="C343" s="329" t="s">
        <v>202</v>
      </c>
      <c r="D343" s="223">
        <v>0</v>
      </c>
      <c r="E343"/>
      <c r="F343"/>
      <c r="G343"/>
      <c r="H343"/>
    </row>
    <row r="344" spans="2:8" x14ac:dyDescent="0.25">
      <c r="B344" s="184" t="s">
        <v>203</v>
      </c>
      <c r="C344" s="184" t="s">
        <v>203</v>
      </c>
      <c r="D344" s="223">
        <v>65342.71</v>
      </c>
      <c r="E344"/>
      <c r="F344"/>
      <c r="G344"/>
      <c r="H344"/>
    </row>
    <row r="345" spans="2:8" hidden="1" x14ac:dyDescent="0.25">
      <c r="B345" s="184" t="s">
        <v>204</v>
      </c>
      <c r="C345" s="329" t="s">
        <v>204</v>
      </c>
      <c r="D345" s="223">
        <v>0</v>
      </c>
      <c r="E345"/>
      <c r="F345"/>
      <c r="G345"/>
      <c r="H345"/>
    </row>
    <row r="346" spans="2:8" hidden="1" x14ac:dyDescent="0.25">
      <c r="B346" s="184" t="s">
        <v>205</v>
      </c>
      <c r="C346" s="329" t="s">
        <v>205</v>
      </c>
      <c r="D346" s="223">
        <v>0</v>
      </c>
      <c r="E346"/>
      <c r="F346"/>
      <c r="G346"/>
      <c r="H346"/>
    </row>
    <row r="347" spans="2:8" hidden="1" x14ac:dyDescent="0.25">
      <c r="B347" s="184" t="s">
        <v>206</v>
      </c>
      <c r="C347" s="329" t="s">
        <v>206</v>
      </c>
      <c r="D347" s="223">
        <v>0</v>
      </c>
      <c r="E347"/>
      <c r="F347"/>
      <c r="G347"/>
      <c r="H347"/>
    </row>
    <row r="348" spans="2:8" hidden="1" x14ac:dyDescent="0.25">
      <c r="B348" s="184" t="s">
        <v>207</v>
      </c>
      <c r="C348" s="329" t="s">
        <v>207</v>
      </c>
      <c r="D348" s="223">
        <v>0</v>
      </c>
      <c r="E348"/>
      <c r="F348"/>
      <c r="G348"/>
      <c r="H348"/>
    </row>
    <row r="349" spans="2:8" hidden="1" x14ac:dyDescent="0.25">
      <c r="B349" s="184" t="s">
        <v>208</v>
      </c>
      <c r="C349" s="329" t="s">
        <v>208</v>
      </c>
      <c r="D349" s="223">
        <v>0</v>
      </c>
      <c r="E349"/>
      <c r="F349"/>
      <c r="G349"/>
      <c r="H349"/>
    </row>
    <row r="350" spans="2:8" hidden="1" x14ac:dyDescent="0.25">
      <c r="B350" s="184" t="s">
        <v>209</v>
      </c>
      <c r="C350" s="329" t="s">
        <v>209</v>
      </c>
      <c r="D350" s="223">
        <v>0</v>
      </c>
      <c r="E350"/>
      <c r="F350"/>
      <c r="G350"/>
      <c r="H350"/>
    </row>
    <row r="351" spans="2:8" hidden="1" x14ac:dyDescent="0.25">
      <c r="B351" s="184" t="s">
        <v>226</v>
      </c>
      <c r="C351" s="329" t="s">
        <v>226</v>
      </c>
      <c r="D351" s="223">
        <v>0</v>
      </c>
      <c r="E351"/>
      <c r="F351"/>
      <c r="G351"/>
      <c r="H351"/>
    </row>
    <row r="352" spans="2:8" hidden="1" x14ac:dyDescent="0.25">
      <c r="B352" s="184" t="s">
        <v>211</v>
      </c>
      <c r="C352" s="329" t="s">
        <v>211</v>
      </c>
      <c r="D352" s="223">
        <v>0</v>
      </c>
      <c r="E352"/>
      <c r="F352"/>
      <c r="G352"/>
      <c r="H352"/>
    </row>
    <row r="353" spans="2:8" hidden="1" x14ac:dyDescent="0.25">
      <c r="B353" s="184" t="s">
        <v>212</v>
      </c>
      <c r="C353" s="329" t="s">
        <v>212</v>
      </c>
      <c r="D353" s="223">
        <v>0</v>
      </c>
      <c r="E353"/>
      <c r="F353"/>
      <c r="G353"/>
      <c r="H353"/>
    </row>
    <row r="354" spans="2:8" x14ac:dyDescent="0.25">
      <c r="B354" s="224" t="s">
        <v>216</v>
      </c>
      <c r="C354" s="224" t="s">
        <v>216</v>
      </c>
      <c r="D354" s="223"/>
      <c r="E354"/>
      <c r="F354"/>
      <c r="G354"/>
      <c r="H354"/>
    </row>
    <row r="355" spans="2:8" x14ac:dyDescent="0.25">
      <c r="B355" s="184" t="s">
        <v>276</v>
      </c>
      <c r="C355" s="184" t="s">
        <v>276</v>
      </c>
      <c r="D355" s="223">
        <v>0</v>
      </c>
      <c r="E355"/>
      <c r="F355"/>
      <c r="G355"/>
      <c r="H355"/>
    </row>
    <row r="356" spans="2:8" x14ac:dyDescent="0.25">
      <c r="B356" s="184"/>
      <c r="C356" s="184"/>
      <c r="D356" s="216"/>
      <c r="E356"/>
      <c r="F356"/>
      <c r="G356"/>
      <c r="H356"/>
    </row>
    <row r="357" spans="2:8" ht="13.8" thickBot="1" x14ac:dyDescent="0.3">
      <c r="B357" s="184"/>
      <c r="C357" s="227" t="s">
        <v>277</v>
      </c>
      <c r="D357" s="228">
        <f>SUM(D340:D356)</f>
        <v>65342.71</v>
      </c>
      <c r="E357"/>
      <c r="F357"/>
      <c r="G357"/>
      <c r="H357"/>
    </row>
    <row r="358" spans="2:8" ht="13.8" thickTop="1" x14ac:dyDescent="0.25">
      <c r="B358" s="184"/>
      <c r="C358" s="224"/>
      <c r="D358" s="225"/>
      <c r="E358"/>
      <c r="F358"/>
      <c r="G358"/>
      <c r="H358"/>
    </row>
    <row r="359" spans="2:8" x14ac:dyDescent="0.25">
      <c r="B359" s="224" t="s">
        <v>278</v>
      </c>
      <c r="C359" s="184"/>
      <c r="D359" s="216"/>
      <c r="E359"/>
      <c r="F359"/>
      <c r="G359"/>
      <c r="H359"/>
    </row>
    <row r="360" spans="2:8" x14ac:dyDescent="0.25">
      <c r="B360" s="184" t="s">
        <v>279</v>
      </c>
      <c r="C360" s="184" t="s">
        <v>279</v>
      </c>
      <c r="D360" s="232">
        <v>0</v>
      </c>
      <c r="E360"/>
      <c r="F360"/>
      <c r="G360"/>
      <c r="H360"/>
    </row>
    <row r="361" spans="2:8" x14ac:dyDescent="0.25">
      <c r="B361" s="184" t="s">
        <v>280</v>
      </c>
      <c r="C361" s="184" t="s">
        <v>280</v>
      </c>
      <c r="D361" s="232">
        <v>0</v>
      </c>
      <c r="E361"/>
      <c r="F361"/>
      <c r="G361"/>
      <c r="H361"/>
    </row>
    <row r="362" spans="2:8" x14ac:dyDescent="0.25">
      <c r="B362" s="184" t="s">
        <v>275</v>
      </c>
      <c r="C362" s="184" t="s">
        <v>275</v>
      </c>
      <c r="D362" s="232">
        <v>0</v>
      </c>
      <c r="E362"/>
      <c r="F362"/>
      <c r="G362"/>
      <c r="H362"/>
    </row>
    <row r="363" spans="2:8" x14ac:dyDescent="0.25">
      <c r="B363" s="224" t="s">
        <v>201</v>
      </c>
      <c r="C363" s="224" t="s">
        <v>201</v>
      </c>
      <c r="D363" s="216"/>
      <c r="E363"/>
      <c r="F363"/>
      <c r="G363"/>
      <c r="H363"/>
    </row>
    <row r="364" spans="2:8" x14ac:dyDescent="0.25">
      <c r="B364" s="184" t="s">
        <v>202</v>
      </c>
      <c r="C364" s="184" t="s">
        <v>202</v>
      </c>
      <c r="D364" s="223">
        <v>0</v>
      </c>
      <c r="E364"/>
      <c r="F364"/>
      <c r="G364"/>
      <c r="H364"/>
    </row>
    <row r="365" spans="2:8" x14ac:dyDescent="0.25">
      <c r="B365" s="184" t="s">
        <v>203</v>
      </c>
      <c r="C365" s="184" t="s">
        <v>203</v>
      </c>
      <c r="D365" s="223">
        <v>87837.97</v>
      </c>
      <c r="E365"/>
      <c r="F365"/>
      <c r="G365"/>
      <c r="H365"/>
    </row>
    <row r="366" spans="2:8" x14ac:dyDescent="0.25">
      <c r="B366" s="184" t="s">
        <v>204</v>
      </c>
      <c r="C366" s="184" t="s">
        <v>204</v>
      </c>
      <c r="D366" s="223">
        <v>0</v>
      </c>
      <c r="E366"/>
      <c r="F366"/>
      <c r="G366"/>
      <c r="H366"/>
    </row>
    <row r="367" spans="2:8" x14ac:dyDescent="0.25">
      <c r="B367" s="184" t="s">
        <v>205</v>
      </c>
      <c r="C367" s="184" t="s">
        <v>205</v>
      </c>
      <c r="D367" s="223">
        <v>0</v>
      </c>
      <c r="E367"/>
      <c r="F367"/>
      <c r="G367"/>
      <c r="H367"/>
    </row>
    <row r="368" spans="2:8" x14ac:dyDescent="0.25">
      <c r="B368" s="184" t="s">
        <v>206</v>
      </c>
      <c r="C368" s="184" t="s">
        <v>206</v>
      </c>
      <c r="D368" s="223">
        <v>0</v>
      </c>
      <c r="E368"/>
      <c r="F368"/>
      <c r="G368"/>
      <c r="H368"/>
    </row>
    <row r="369" spans="2:8" x14ac:dyDescent="0.25">
      <c r="B369" s="184" t="s">
        <v>207</v>
      </c>
      <c r="C369" s="184" t="s">
        <v>207</v>
      </c>
      <c r="D369" s="223">
        <v>0</v>
      </c>
      <c r="E369"/>
      <c r="F369"/>
      <c r="G369"/>
      <c r="H369"/>
    </row>
    <row r="370" spans="2:8" x14ac:dyDescent="0.25">
      <c r="B370" s="184" t="s">
        <v>208</v>
      </c>
      <c r="C370" s="184" t="s">
        <v>208</v>
      </c>
      <c r="D370" s="223">
        <v>0</v>
      </c>
      <c r="E370"/>
      <c r="F370"/>
      <c r="G370"/>
      <c r="H370"/>
    </row>
    <row r="371" spans="2:8" x14ac:dyDescent="0.25">
      <c r="B371" s="184" t="s">
        <v>209</v>
      </c>
      <c r="C371" s="184" t="s">
        <v>209</v>
      </c>
      <c r="D371" s="223">
        <v>0</v>
      </c>
      <c r="E371"/>
      <c r="F371"/>
      <c r="G371"/>
      <c r="H371"/>
    </row>
    <row r="372" spans="2:8" x14ac:dyDescent="0.25">
      <c r="B372" s="184" t="s">
        <v>226</v>
      </c>
      <c r="C372" s="184" t="s">
        <v>226</v>
      </c>
      <c r="D372" s="223">
        <v>0</v>
      </c>
      <c r="E372"/>
      <c r="F372"/>
      <c r="G372"/>
      <c r="H372"/>
    </row>
    <row r="373" spans="2:8" x14ac:dyDescent="0.25">
      <c r="B373" s="184" t="s">
        <v>211</v>
      </c>
      <c r="C373" s="184" t="s">
        <v>211</v>
      </c>
      <c r="D373" s="223">
        <v>0</v>
      </c>
      <c r="E373"/>
      <c r="F373"/>
      <c r="G373"/>
      <c r="H373"/>
    </row>
    <row r="374" spans="2:8" x14ac:dyDescent="0.25">
      <c r="B374" s="184" t="s">
        <v>212</v>
      </c>
      <c r="C374" s="184" t="s">
        <v>212</v>
      </c>
      <c r="D374" s="223">
        <v>0</v>
      </c>
      <c r="E374"/>
      <c r="F374"/>
      <c r="G374"/>
      <c r="H374"/>
    </row>
    <row r="375" spans="2:8" x14ac:dyDescent="0.25">
      <c r="B375" s="184"/>
      <c r="C375" s="184"/>
      <c r="D375" s="216"/>
      <c r="E375"/>
      <c r="F375"/>
      <c r="G375"/>
      <c r="H375"/>
    </row>
    <row r="376" spans="2:8" ht="13.8" thickBot="1" x14ac:dyDescent="0.3">
      <c r="B376" s="184"/>
      <c r="C376" s="227" t="s">
        <v>281</v>
      </c>
      <c r="D376" s="252">
        <f>SUM(D360:D375)</f>
        <v>87837.97</v>
      </c>
      <c r="E376"/>
      <c r="F376"/>
      <c r="G376"/>
      <c r="H376"/>
    </row>
    <row r="377" spans="2:8" ht="13.8" thickTop="1" x14ac:dyDescent="0.25">
      <c r="B377" s="184"/>
      <c r="C377" s="224"/>
      <c r="D377" s="225"/>
      <c r="E377"/>
      <c r="F377"/>
      <c r="G377"/>
      <c r="H377"/>
    </row>
    <row r="378" spans="2:8" x14ac:dyDescent="0.25">
      <c r="B378" s="224" t="s">
        <v>282</v>
      </c>
      <c r="C378" s="184"/>
      <c r="D378" s="216"/>
      <c r="E378"/>
      <c r="F378"/>
      <c r="G378"/>
      <c r="H378"/>
    </row>
    <row r="379" spans="2:8" x14ac:dyDescent="0.25">
      <c r="B379" s="184" t="s">
        <v>283</v>
      </c>
      <c r="C379" s="184" t="s">
        <v>283</v>
      </c>
      <c r="D379" s="223">
        <v>0</v>
      </c>
      <c r="E379"/>
      <c r="F379"/>
      <c r="G379"/>
      <c r="H379"/>
    </row>
    <row r="380" spans="2:8" x14ac:dyDescent="0.25">
      <c r="B380" s="224" t="s">
        <v>201</v>
      </c>
      <c r="C380" s="224" t="s">
        <v>201</v>
      </c>
      <c r="D380" s="216"/>
      <c r="E380"/>
      <c r="F380"/>
      <c r="G380"/>
      <c r="H380"/>
    </row>
    <row r="381" spans="2:8" x14ac:dyDescent="0.25">
      <c r="B381" s="184" t="s">
        <v>202</v>
      </c>
      <c r="C381" s="184" t="s">
        <v>202</v>
      </c>
      <c r="D381" s="223">
        <v>0</v>
      </c>
      <c r="E381"/>
      <c r="F381"/>
      <c r="G381"/>
      <c r="H381"/>
    </row>
    <row r="382" spans="2:8" x14ac:dyDescent="0.25">
      <c r="B382" s="184" t="s">
        <v>203</v>
      </c>
      <c r="C382" s="184" t="s">
        <v>203</v>
      </c>
      <c r="D382" s="223">
        <v>11117.16</v>
      </c>
      <c r="E382"/>
      <c r="F382"/>
      <c r="G382"/>
      <c r="H382"/>
    </row>
    <row r="383" spans="2:8" x14ac:dyDescent="0.25">
      <c r="B383" s="184" t="s">
        <v>204</v>
      </c>
      <c r="C383" s="184" t="s">
        <v>204</v>
      </c>
      <c r="D383" s="222">
        <v>0</v>
      </c>
      <c r="E383"/>
      <c r="F383"/>
      <c r="G383"/>
      <c r="H383"/>
    </row>
    <row r="384" spans="2:8" x14ac:dyDescent="0.25">
      <c r="B384" s="184" t="s">
        <v>205</v>
      </c>
      <c r="C384" s="184" t="s">
        <v>205</v>
      </c>
      <c r="D384" s="222">
        <v>0</v>
      </c>
      <c r="E384"/>
      <c r="F384"/>
      <c r="G384"/>
      <c r="H384"/>
    </row>
    <row r="385" spans="2:8" x14ac:dyDescent="0.25">
      <c r="B385" s="184" t="s">
        <v>206</v>
      </c>
      <c r="C385" s="184" t="s">
        <v>206</v>
      </c>
      <c r="D385" s="222">
        <v>0</v>
      </c>
      <c r="E385"/>
      <c r="F385"/>
      <c r="G385"/>
      <c r="H385"/>
    </row>
    <row r="386" spans="2:8" x14ac:dyDescent="0.25">
      <c r="B386" s="184" t="s">
        <v>207</v>
      </c>
      <c r="C386" s="184" t="s">
        <v>207</v>
      </c>
      <c r="D386" s="222">
        <v>0</v>
      </c>
      <c r="E386"/>
      <c r="F386"/>
      <c r="G386"/>
      <c r="H386"/>
    </row>
    <row r="387" spans="2:8" x14ac:dyDescent="0.25">
      <c r="B387" s="184" t="s">
        <v>208</v>
      </c>
      <c r="C387" s="184" t="s">
        <v>208</v>
      </c>
      <c r="D387" s="222">
        <v>0</v>
      </c>
      <c r="E387"/>
      <c r="F387"/>
      <c r="G387"/>
      <c r="H387"/>
    </row>
    <row r="388" spans="2:8" x14ac:dyDescent="0.25">
      <c r="B388" s="184" t="s">
        <v>209</v>
      </c>
      <c r="C388" s="184" t="s">
        <v>209</v>
      </c>
      <c r="D388" s="222">
        <v>0</v>
      </c>
      <c r="E388"/>
      <c r="F388"/>
      <c r="G388"/>
      <c r="H388"/>
    </row>
    <row r="389" spans="2:8" x14ac:dyDescent="0.25">
      <c r="B389" s="184" t="s">
        <v>226</v>
      </c>
      <c r="C389" s="184" t="s">
        <v>226</v>
      </c>
      <c r="D389" s="222">
        <v>0</v>
      </c>
      <c r="E389"/>
      <c r="F389"/>
      <c r="G389"/>
      <c r="H389"/>
    </row>
    <row r="390" spans="2:8" x14ac:dyDescent="0.25">
      <c r="B390" s="184" t="s">
        <v>211</v>
      </c>
      <c r="C390" s="184" t="s">
        <v>211</v>
      </c>
      <c r="D390" s="222">
        <v>0</v>
      </c>
      <c r="E390"/>
      <c r="F390"/>
      <c r="G390"/>
      <c r="H390"/>
    </row>
    <row r="391" spans="2:8" x14ac:dyDescent="0.25">
      <c r="B391" s="184" t="s">
        <v>212</v>
      </c>
      <c r="C391" s="184" t="s">
        <v>212</v>
      </c>
      <c r="D391" s="222">
        <v>0</v>
      </c>
      <c r="E391"/>
      <c r="F391"/>
      <c r="G391"/>
      <c r="H391"/>
    </row>
    <row r="392" spans="2:8" x14ac:dyDescent="0.25">
      <c r="B392" s="224" t="s">
        <v>216</v>
      </c>
      <c r="C392" s="224" t="s">
        <v>216</v>
      </c>
      <c r="D392" s="222"/>
      <c r="E392"/>
      <c r="F392"/>
      <c r="G392"/>
      <c r="H392"/>
    </row>
    <row r="393" spans="2:8" x14ac:dyDescent="0.25">
      <c r="B393" s="184" t="s">
        <v>284</v>
      </c>
      <c r="C393" s="184" t="s">
        <v>284</v>
      </c>
      <c r="D393" s="222">
        <v>0</v>
      </c>
      <c r="E393"/>
      <c r="F393"/>
      <c r="G393"/>
      <c r="H393"/>
    </row>
    <row r="394" spans="2:8" x14ac:dyDescent="0.25">
      <c r="B394" s="184" t="s">
        <v>285</v>
      </c>
      <c r="C394" s="184" t="s">
        <v>285</v>
      </c>
      <c r="D394" s="222">
        <v>0</v>
      </c>
      <c r="E394"/>
      <c r="F394"/>
      <c r="G394"/>
      <c r="H394"/>
    </row>
    <row r="395" spans="2:8" x14ac:dyDescent="0.25">
      <c r="B395" s="184" t="s">
        <v>286</v>
      </c>
      <c r="C395" s="184" t="s">
        <v>286</v>
      </c>
      <c r="D395" s="222">
        <v>0</v>
      </c>
      <c r="E395"/>
      <c r="F395"/>
      <c r="G395"/>
      <c r="H395"/>
    </row>
    <row r="396" spans="2:8" x14ac:dyDescent="0.25">
      <c r="B396" s="184" t="s">
        <v>287</v>
      </c>
      <c r="C396" s="184" t="s">
        <v>287</v>
      </c>
      <c r="D396" s="222">
        <v>0</v>
      </c>
      <c r="E396"/>
      <c r="F396"/>
      <c r="G396"/>
      <c r="H396"/>
    </row>
    <row r="397" spans="2:8" x14ac:dyDescent="0.25">
      <c r="B397" s="184" t="s">
        <v>288</v>
      </c>
      <c r="C397" s="184" t="s">
        <v>288</v>
      </c>
      <c r="D397" s="222">
        <v>0</v>
      </c>
      <c r="E397"/>
      <c r="F397"/>
      <c r="G397"/>
      <c r="H397"/>
    </row>
    <row r="398" spans="2:8" x14ac:dyDescent="0.25">
      <c r="B398" s="184"/>
      <c r="C398" s="184"/>
      <c r="D398" s="216"/>
      <c r="E398"/>
      <c r="F398"/>
      <c r="G398"/>
      <c r="H398"/>
    </row>
    <row r="399" spans="2:8" ht="13.8" thickBot="1" x14ac:dyDescent="0.3">
      <c r="B399" s="184"/>
      <c r="C399" s="227" t="s">
        <v>289</v>
      </c>
      <c r="D399" s="252">
        <f>SUM(D382:D397)</f>
        <v>11117.16</v>
      </c>
      <c r="E399"/>
      <c r="F399"/>
      <c r="G399"/>
      <c r="H399"/>
    </row>
    <row r="400" spans="2:8" ht="13.8" thickTop="1" x14ac:dyDescent="0.25">
      <c r="B400" s="184"/>
      <c r="C400" s="184"/>
      <c r="D400" s="225"/>
      <c r="E400"/>
      <c r="F400"/>
      <c r="G400"/>
      <c r="H400"/>
    </row>
    <row r="401" spans="2:8" x14ac:dyDescent="0.25">
      <c r="B401" s="224" t="s">
        <v>290</v>
      </c>
      <c r="C401" s="184"/>
      <c r="D401" s="216"/>
      <c r="E401"/>
      <c r="F401"/>
      <c r="G401"/>
      <c r="H401"/>
    </row>
    <row r="402" spans="2:8" hidden="1" x14ac:dyDescent="0.25">
      <c r="B402" s="184"/>
      <c r="C402" s="329" t="s">
        <v>291</v>
      </c>
      <c r="D402" s="223">
        <v>0</v>
      </c>
      <c r="E402"/>
      <c r="F402"/>
      <c r="G402"/>
      <c r="H402"/>
    </row>
    <row r="403" spans="2:8" x14ac:dyDescent="0.25">
      <c r="B403" s="224" t="s">
        <v>201</v>
      </c>
      <c r="C403" s="224" t="s">
        <v>201</v>
      </c>
      <c r="D403" s="216"/>
      <c r="E403"/>
      <c r="F403"/>
      <c r="G403"/>
      <c r="H403"/>
    </row>
    <row r="404" spans="2:8" hidden="1" x14ac:dyDescent="0.25">
      <c r="B404" s="184" t="s">
        <v>202</v>
      </c>
      <c r="C404" s="329" t="s">
        <v>202</v>
      </c>
      <c r="D404" s="223">
        <v>0</v>
      </c>
      <c r="E404"/>
      <c r="F404"/>
      <c r="G404"/>
      <c r="H404"/>
    </row>
    <row r="405" spans="2:8" x14ac:dyDescent="0.25">
      <c r="B405" s="184" t="s">
        <v>203</v>
      </c>
      <c r="C405" s="184" t="s">
        <v>203</v>
      </c>
      <c r="D405" s="223">
        <v>14969.81</v>
      </c>
      <c r="E405"/>
      <c r="F405"/>
      <c r="G405"/>
      <c r="H405"/>
    </row>
    <row r="406" spans="2:8" ht="12.6" hidden="1" customHeight="1" x14ac:dyDescent="0.25">
      <c r="B406" s="184"/>
      <c r="C406" s="329" t="s">
        <v>204</v>
      </c>
      <c r="D406" s="223">
        <v>0</v>
      </c>
      <c r="E406"/>
      <c r="F406"/>
      <c r="G406"/>
      <c r="H406"/>
    </row>
    <row r="407" spans="2:8" hidden="1" x14ac:dyDescent="0.25">
      <c r="B407" s="184"/>
      <c r="C407" s="329" t="s">
        <v>205</v>
      </c>
      <c r="D407" s="223">
        <v>0</v>
      </c>
      <c r="E407"/>
      <c r="F407"/>
      <c r="G407"/>
      <c r="H407"/>
    </row>
    <row r="408" spans="2:8" hidden="1" x14ac:dyDescent="0.25">
      <c r="B408" s="184"/>
      <c r="C408" s="329" t="s">
        <v>206</v>
      </c>
      <c r="D408" s="223">
        <v>0</v>
      </c>
      <c r="E408"/>
      <c r="F408"/>
      <c r="G408"/>
      <c r="H408"/>
    </row>
    <row r="409" spans="2:8" hidden="1" x14ac:dyDescent="0.25">
      <c r="B409" s="184"/>
      <c r="C409" s="329" t="s">
        <v>207</v>
      </c>
      <c r="D409" s="223">
        <v>0</v>
      </c>
      <c r="E409"/>
      <c r="F409"/>
      <c r="G409"/>
      <c r="H409"/>
    </row>
    <row r="410" spans="2:8" hidden="1" x14ac:dyDescent="0.25">
      <c r="B410" s="184"/>
      <c r="C410" s="329" t="s">
        <v>208</v>
      </c>
      <c r="D410" s="223">
        <v>0</v>
      </c>
      <c r="E410"/>
      <c r="F410"/>
      <c r="G410"/>
      <c r="H410"/>
    </row>
    <row r="411" spans="2:8" hidden="1" x14ac:dyDescent="0.25">
      <c r="B411" s="184"/>
      <c r="C411" s="329" t="s">
        <v>209</v>
      </c>
      <c r="D411" s="223">
        <v>0</v>
      </c>
      <c r="E411"/>
      <c r="F411"/>
      <c r="G411"/>
      <c r="H411"/>
    </row>
    <row r="412" spans="2:8" hidden="1" x14ac:dyDescent="0.25">
      <c r="B412" s="184"/>
      <c r="C412" s="329" t="s">
        <v>226</v>
      </c>
      <c r="D412" s="223">
        <v>0</v>
      </c>
      <c r="E412"/>
      <c r="F412"/>
      <c r="G412"/>
      <c r="H412"/>
    </row>
    <row r="413" spans="2:8" hidden="1" x14ac:dyDescent="0.25">
      <c r="B413" s="184"/>
      <c r="C413" s="329" t="s">
        <v>211</v>
      </c>
      <c r="D413" s="223">
        <v>0</v>
      </c>
      <c r="E413"/>
      <c r="F413"/>
      <c r="G413"/>
      <c r="H413"/>
    </row>
    <row r="414" spans="2:8" hidden="1" x14ac:dyDescent="0.25">
      <c r="B414" s="184"/>
      <c r="C414" s="329" t="s">
        <v>212</v>
      </c>
      <c r="D414" s="223">
        <v>0</v>
      </c>
      <c r="E414"/>
      <c r="F414"/>
      <c r="G414"/>
      <c r="H414"/>
    </row>
    <row r="415" spans="2:8" hidden="1" x14ac:dyDescent="0.25">
      <c r="B415" s="184"/>
      <c r="C415" s="330" t="s">
        <v>216</v>
      </c>
      <c r="D415" s="223"/>
      <c r="E415"/>
      <c r="F415"/>
      <c r="G415"/>
      <c r="H415"/>
    </row>
    <row r="416" spans="2:8" hidden="1" x14ac:dyDescent="0.25">
      <c r="B416" s="184"/>
      <c r="C416" s="329" t="s">
        <v>292</v>
      </c>
      <c r="D416" s="223">
        <v>0</v>
      </c>
      <c r="E416"/>
      <c r="F416"/>
      <c r="G416"/>
      <c r="H416"/>
    </row>
    <row r="417" spans="2:8" hidden="1" x14ac:dyDescent="0.25">
      <c r="B417" s="184"/>
      <c r="C417" s="329" t="s">
        <v>293</v>
      </c>
      <c r="D417" s="223">
        <v>0</v>
      </c>
      <c r="E417"/>
      <c r="F417"/>
      <c r="G417"/>
      <c r="H417"/>
    </row>
    <row r="418" spans="2:8" hidden="1" x14ac:dyDescent="0.25">
      <c r="B418" s="184"/>
      <c r="C418" s="329" t="s">
        <v>294</v>
      </c>
      <c r="D418" s="223">
        <v>0</v>
      </c>
      <c r="E418"/>
      <c r="F418"/>
      <c r="G418"/>
      <c r="H418"/>
    </row>
    <row r="419" spans="2:8" x14ac:dyDescent="0.25">
      <c r="B419" s="184"/>
      <c r="C419" s="224"/>
      <c r="D419" s="216"/>
      <c r="E419"/>
      <c r="F419"/>
      <c r="G419"/>
      <c r="H419"/>
    </row>
    <row r="420" spans="2:8" ht="13.8" thickBot="1" x14ac:dyDescent="0.3">
      <c r="B420" s="184"/>
      <c r="C420" s="227" t="s">
        <v>295</v>
      </c>
      <c r="D420" s="252">
        <f>SUM(D402:D418)</f>
        <v>14969.81</v>
      </c>
      <c r="E420"/>
      <c r="F420"/>
      <c r="G420"/>
      <c r="H420"/>
    </row>
    <row r="421" spans="2:8" ht="13.8" thickTop="1" x14ac:dyDescent="0.25">
      <c r="B421" s="184"/>
      <c r="C421" s="224"/>
      <c r="D421" s="216"/>
      <c r="E421"/>
      <c r="F421"/>
      <c r="G421"/>
      <c r="H421"/>
    </row>
    <row r="422" spans="2:8" x14ac:dyDescent="0.25">
      <c r="B422" s="224" t="s">
        <v>296</v>
      </c>
      <c r="C422" s="184"/>
      <c r="D422" s="217"/>
      <c r="E422"/>
      <c r="F422"/>
      <c r="G422"/>
      <c r="H422"/>
    </row>
    <row r="423" spans="2:8" hidden="1" x14ac:dyDescent="0.25">
      <c r="B423" s="224"/>
      <c r="C423" s="329" t="s">
        <v>297</v>
      </c>
      <c r="D423" s="223">
        <v>0</v>
      </c>
      <c r="E423"/>
      <c r="F423"/>
      <c r="G423"/>
      <c r="H423"/>
    </row>
    <row r="424" spans="2:8" hidden="1" x14ac:dyDescent="0.25">
      <c r="B424" s="224"/>
      <c r="C424" s="329" t="s">
        <v>298</v>
      </c>
      <c r="D424" s="223">
        <v>0</v>
      </c>
      <c r="E424"/>
      <c r="F424"/>
      <c r="G424"/>
      <c r="H424"/>
    </row>
    <row r="425" spans="2:8" hidden="1" x14ac:dyDescent="0.25">
      <c r="B425" s="224"/>
      <c r="C425" s="330" t="s">
        <v>201</v>
      </c>
      <c r="D425" s="226"/>
      <c r="E425"/>
      <c r="F425"/>
      <c r="G425"/>
      <c r="H425"/>
    </row>
    <row r="426" spans="2:8" hidden="1" x14ac:dyDescent="0.25">
      <c r="B426" s="224"/>
      <c r="C426" s="329" t="s">
        <v>202</v>
      </c>
      <c r="D426" s="226">
        <v>0</v>
      </c>
      <c r="E426"/>
      <c r="F426"/>
      <c r="G426"/>
      <c r="H426"/>
    </row>
    <row r="427" spans="2:8" x14ac:dyDescent="0.25">
      <c r="B427" s="184" t="s">
        <v>203</v>
      </c>
      <c r="C427" s="184" t="s">
        <v>203</v>
      </c>
      <c r="D427" s="226">
        <v>13859.1</v>
      </c>
      <c r="E427"/>
      <c r="F427"/>
      <c r="G427"/>
      <c r="H427"/>
    </row>
    <row r="428" spans="2:8" ht="16.8" hidden="1" customHeight="1" x14ac:dyDescent="0.25">
      <c r="B428" s="224"/>
      <c r="C428" s="329" t="s">
        <v>299</v>
      </c>
      <c r="D428" s="226">
        <v>0</v>
      </c>
      <c r="E428"/>
      <c r="F428"/>
      <c r="G428"/>
      <c r="H428"/>
    </row>
    <row r="429" spans="2:8" hidden="1" x14ac:dyDescent="0.25">
      <c r="B429" s="224"/>
      <c r="C429" s="329" t="s">
        <v>204</v>
      </c>
      <c r="D429" s="223">
        <v>0</v>
      </c>
      <c r="E429"/>
      <c r="F429"/>
      <c r="G429"/>
      <c r="H429"/>
    </row>
    <row r="430" spans="2:8" hidden="1" x14ac:dyDescent="0.25">
      <c r="B430" s="224"/>
      <c r="C430" s="329" t="s">
        <v>205</v>
      </c>
      <c r="D430" s="223">
        <v>0</v>
      </c>
      <c r="E430"/>
      <c r="F430"/>
      <c r="G430"/>
      <c r="H430"/>
    </row>
    <row r="431" spans="2:8" hidden="1" x14ac:dyDescent="0.25">
      <c r="B431" s="224"/>
      <c r="C431" s="329" t="s">
        <v>206</v>
      </c>
      <c r="D431" s="223">
        <v>0</v>
      </c>
      <c r="E431"/>
      <c r="F431"/>
      <c r="G431"/>
      <c r="H431"/>
    </row>
    <row r="432" spans="2:8" hidden="1" x14ac:dyDescent="0.25">
      <c r="B432" s="224"/>
      <c r="C432" s="329" t="s">
        <v>207</v>
      </c>
      <c r="D432" s="223">
        <v>0</v>
      </c>
      <c r="E432"/>
      <c r="F432"/>
      <c r="G432"/>
      <c r="H432"/>
    </row>
    <row r="433" spans="2:8" hidden="1" x14ac:dyDescent="0.25">
      <c r="B433" s="224"/>
      <c r="C433" s="329" t="s">
        <v>208</v>
      </c>
      <c r="D433" s="223">
        <v>0</v>
      </c>
      <c r="E433"/>
      <c r="F433"/>
      <c r="G433"/>
      <c r="H433"/>
    </row>
    <row r="434" spans="2:8" hidden="1" x14ac:dyDescent="0.25">
      <c r="B434" s="224"/>
      <c r="C434" s="329" t="s">
        <v>209</v>
      </c>
      <c r="D434" s="223">
        <v>0</v>
      </c>
      <c r="E434"/>
      <c r="F434"/>
      <c r="G434"/>
      <c r="H434"/>
    </row>
    <row r="435" spans="2:8" hidden="1" x14ac:dyDescent="0.25">
      <c r="B435" s="224"/>
      <c r="C435" s="329" t="s">
        <v>226</v>
      </c>
      <c r="D435" s="223">
        <v>0</v>
      </c>
      <c r="E435"/>
      <c r="F435"/>
      <c r="G435"/>
      <c r="H435"/>
    </row>
    <row r="436" spans="2:8" hidden="1" x14ac:dyDescent="0.25">
      <c r="B436" s="224"/>
      <c r="C436" s="329" t="s">
        <v>211</v>
      </c>
      <c r="D436" s="223">
        <v>0</v>
      </c>
      <c r="E436"/>
      <c r="F436"/>
      <c r="G436"/>
      <c r="H436"/>
    </row>
    <row r="437" spans="2:8" hidden="1" x14ac:dyDescent="0.25">
      <c r="B437" s="224"/>
      <c r="C437" s="329" t="s">
        <v>212</v>
      </c>
      <c r="D437" s="223">
        <v>0</v>
      </c>
      <c r="E437"/>
      <c r="F437"/>
      <c r="G437"/>
      <c r="H437"/>
    </row>
    <row r="438" spans="2:8" hidden="1" x14ac:dyDescent="0.25">
      <c r="B438" s="224"/>
      <c r="C438" s="330" t="s">
        <v>216</v>
      </c>
      <c r="D438" s="226"/>
      <c r="E438"/>
      <c r="F438"/>
      <c r="G438"/>
      <c r="H438"/>
    </row>
    <row r="439" spans="2:8" hidden="1" x14ac:dyDescent="0.25">
      <c r="B439" s="224"/>
      <c r="C439" s="329" t="s">
        <v>300</v>
      </c>
      <c r="D439" s="226">
        <v>0</v>
      </c>
      <c r="E439"/>
      <c r="F439"/>
      <c r="G439"/>
      <c r="H439"/>
    </row>
    <row r="440" spans="2:8" hidden="1" x14ac:dyDescent="0.25">
      <c r="B440" s="224"/>
      <c r="C440" s="329" t="s">
        <v>301</v>
      </c>
      <c r="D440" s="223">
        <v>0</v>
      </c>
      <c r="E440"/>
      <c r="F440"/>
      <c r="G440"/>
      <c r="H440"/>
    </row>
    <row r="441" spans="2:8" hidden="1" x14ac:dyDescent="0.25">
      <c r="B441" s="224"/>
      <c r="C441" s="331" t="s">
        <v>302</v>
      </c>
      <c r="D441" s="223">
        <v>0</v>
      </c>
      <c r="E441"/>
      <c r="F441"/>
      <c r="G441"/>
      <c r="H441"/>
    </row>
    <row r="442" spans="2:8" hidden="1" x14ac:dyDescent="0.25">
      <c r="B442" s="224"/>
      <c r="C442" s="331" t="s">
        <v>303</v>
      </c>
      <c r="D442" s="223">
        <v>0</v>
      </c>
      <c r="E442"/>
      <c r="F442"/>
      <c r="G442"/>
      <c r="H442"/>
    </row>
    <row r="443" spans="2:8" hidden="1" x14ac:dyDescent="0.25">
      <c r="B443" s="224"/>
      <c r="C443" s="332" t="s">
        <v>304</v>
      </c>
      <c r="D443" s="223">
        <v>0</v>
      </c>
      <c r="E443"/>
      <c r="F443"/>
      <c r="G443"/>
      <c r="H443"/>
    </row>
    <row r="444" spans="2:8" hidden="1" x14ac:dyDescent="0.25">
      <c r="B444" s="224"/>
      <c r="C444" s="331" t="s">
        <v>305</v>
      </c>
      <c r="D444" s="223">
        <v>0</v>
      </c>
      <c r="E444"/>
      <c r="F444"/>
      <c r="G444"/>
      <c r="H444"/>
    </row>
    <row r="445" spans="2:8" x14ac:dyDescent="0.25">
      <c r="B445" s="184"/>
      <c r="C445" s="184"/>
      <c r="D445" s="216"/>
      <c r="E445"/>
      <c r="F445"/>
      <c r="G445"/>
      <c r="H445"/>
    </row>
    <row r="446" spans="2:8" ht="13.8" thickBot="1" x14ac:dyDescent="0.3">
      <c r="B446" s="184"/>
      <c r="C446" s="227" t="s">
        <v>306</v>
      </c>
      <c r="D446" s="252">
        <f>SUM(D423:D445)</f>
        <v>13859.1</v>
      </c>
      <c r="E446"/>
      <c r="F446"/>
      <c r="G446"/>
      <c r="H446"/>
    </row>
    <row r="447" spans="2:8" ht="13.8" thickTop="1" x14ac:dyDescent="0.25">
      <c r="B447" s="184"/>
      <c r="C447" s="224"/>
      <c r="D447" s="225"/>
      <c r="E447"/>
      <c r="F447"/>
      <c r="G447"/>
      <c r="H447"/>
    </row>
    <row r="448" spans="2:8" x14ac:dyDescent="0.25">
      <c r="B448" s="184"/>
      <c r="C448" s="258" t="s">
        <v>307</v>
      </c>
      <c r="D448" s="259">
        <f>D179+D188+D207+D231+D255+D275+D293+D315+D337+D357+D376+D446+D420+D399+D159+D137</f>
        <v>53725472.259999998</v>
      </c>
      <c r="E448"/>
      <c r="F448"/>
      <c r="G448"/>
      <c r="H448"/>
    </row>
    <row r="449" spans="2:8" x14ac:dyDescent="0.25">
      <c r="B449" s="184"/>
      <c r="C449" s="256"/>
      <c r="D449" s="225"/>
      <c r="E449"/>
      <c r="F449"/>
      <c r="G449"/>
      <c r="H449"/>
    </row>
    <row r="450" spans="2:8" x14ac:dyDescent="0.25">
      <c r="B450" s="224" t="s">
        <v>309</v>
      </c>
      <c r="C450" s="184"/>
      <c r="D450" s="225"/>
      <c r="E450"/>
      <c r="F450"/>
      <c r="G450"/>
      <c r="H450"/>
    </row>
    <row r="451" spans="2:8" x14ac:dyDescent="0.25">
      <c r="B451" s="256" t="s">
        <v>310</v>
      </c>
      <c r="C451" s="256" t="s">
        <v>310</v>
      </c>
      <c r="D451" s="225">
        <v>0</v>
      </c>
      <c r="E451"/>
      <c r="F451"/>
      <c r="G451"/>
      <c r="H451"/>
    </row>
    <row r="452" spans="2:8" x14ac:dyDescent="0.25">
      <c r="B452" s="256" t="s">
        <v>311</v>
      </c>
      <c r="C452" s="256" t="s">
        <v>311</v>
      </c>
      <c r="D452" s="225">
        <v>0</v>
      </c>
      <c r="E452"/>
      <c r="F452"/>
      <c r="G452"/>
      <c r="H452"/>
    </row>
    <row r="453" spans="2:8" x14ac:dyDescent="0.25">
      <c r="B453" s="184"/>
      <c r="C453" s="256"/>
      <c r="D453" s="225"/>
      <c r="E453"/>
      <c r="F453"/>
      <c r="G453"/>
      <c r="H453"/>
    </row>
    <row r="454" spans="2:8" ht="13.8" thickBot="1" x14ac:dyDescent="0.3">
      <c r="B454" s="184"/>
      <c r="C454" s="260" t="s">
        <v>312</v>
      </c>
      <c r="D454" s="228">
        <f>SUM(D451:D453)</f>
        <v>0</v>
      </c>
      <c r="E454"/>
      <c r="F454"/>
      <c r="G454"/>
      <c r="H454"/>
    </row>
    <row r="455" spans="2:8" ht="13.8" thickTop="1" x14ac:dyDescent="0.25">
      <c r="B455" s="184"/>
      <c r="C455" s="261"/>
      <c r="D455" s="212"/>
      <c r="E455"/>
      <c r="F455"/>
      <c r="G455"/>
      <c r="H455"/>
    </row>
    <row r="456" spans="2:8" x14ac:dyDescent="0.25">
      <c r="B456" s="224" t="s">
        <v>314</v>
      </c>
      <c r="C456" s="184"/>
      <c r="D456" s="225"/>
      <c r="E456"/>
      <c r="F456"/>
      <c r="G456"/>
      <c r="H456"/>
    </row>
    <row r="457" spans="2:8" x14ac:dyDescent="0.25">
      <c r="B457" s="256" t="s">
        <v>315</v>
      </c>
      <c r="C457" s="256" t="s">
        <v>315</v>
      </c>
      <c r="D457" s="225">
        <v>0</v>
      </c>
      <c r="E457"/>
      <c r="F457"/>
      <c r="G457"/>
      <c r="H457"/>
    </row>
    <row r="458" spans="2:8" x14ac:dyDescent="0.25">
      <c r="B458" s="256" t="s">
        <v>316</v>
      </c>
      <c r="C458" s="256" t="s">
        <v>316</v>
      </c>
      <c r="D458" s="225">
        <v>0</v>
      </c>
      <c r="E458"/>
      <c r="F458"/>
      <c r="G458"/>
      <c r="H458"/>
    </row>
    <row r="459" spans="2:8" x14ac:dyDescent="0.25">
      <c r="B459" s="256" t="s">
        <v>311</v>
      </c>
      <c r="C459" s="256" t="s">
        <v>311</v>
      </c>
      <c r="D459" s="225">
        <v>54634.1</v>
      </c>
      <c r="E459"/>
      <c r="F459"/>
      <c r="G459"/>
      <c r="H459"/>
    </row>
    <row r="460" spans="2:8" x14ac:dyDescent="0.25">
      <c r="B460" s="184"/>
      <c r="C460" s="256"/>
      <c r="D460" s="225"/>
      <c r="E460"/>
      <c r="F460"/>
      <c r="G460"/>
      <c r="H460"/>
    </row>
    <row r="461" spans="2:8" ht="13.8" thickBot="1" x14ac:dyDescent="0.3">
      <c r="B461" s="184"/>
      <c r="C461" s="260" t="s">
        <v>317</v>
      </c>
      <c r="D461" s="228">
        <f>SUM(D457:D460)</f>
        <v>54634.1</v>
      </c>
      <c r="E461"/>
      <c r="F461"/>
      <c r="G461"/>
      <c r="H461"/>
    </row>
    <row r="462" spans="2:8" ht="13.8" thickTop="1" x14ac:dyDescent="0.25">
      <c r="B462" s="184"/>
      <c r="C462" s="256"/>
      <c r="D462" s="225"/>
      <c r="E462"/>
      <c r="F462"/>
      <c r="G462"/>
      <c r="H462"/>
    </row>
    <row r="463" spans="2:8" x14ac:dyDescent="0.25">
      <c r="B463" s="224" t="s">
        <v>318</v>
      </c>
      <c r="C463" s="184"/>
      <c r="D463" s="225"/>
      <c r="E463"/>
      <c r="F463"/>
      <c r="G463"/>
      <c r="H463"/>
    </row>
    <row r="464" spans="2:8" x14ac:dyDescent="0.25">
      <c r="B464" s="256" t="s">
        <v>319</v>
      </c>
      <c r="C464" s="256" t="s">
        <v>319</v>
      </c>
      <c r="D464" s="346">
        <v>367810.92</v>
      </c>
      <c r="E464"/>
      <c r="F464"/>
      <c r="G464"/>
      <c r="H464"/>
    </row>
    <row r="465" spans="2:8" x14ac:dyDescent="0.25">
      <c r="B465" s="256" t="s">
        <v>320</v>
      </c>
      <c r="C465" s="256" t="s">
        <v>320</v>
      </c>
      <c r="D465" s="225">
        <v>2237481.87</v>
      </c>
      <c r="E465"/>
      <c r="F465"/>
      <c r="G465"/>
      <c r="H465"/>
    </row>
    <row r="466" spans="2:8" x14ac:dyDescent="0.25">
      <c r="B466" s="184"/>
      <c r="C466" s="256"/>
      <c r="D466" s="225"/>
      <c r="E466"/>
      <c r="F466"/>
      <c r="G466"/>
      <c r="H466"/>
    </row>
    <row r="467" spans="2:8" ht="13.8" thickBot="1" x14ac:dyDescent="0.3">
      <c r="B467" s="184"/>
      <c r="C467" s="260" t="s">
        <v>321</v>
      </c>
      <c r="D467" s="228">
        <f>SUM(D464:D466)</f>
        <v>2605292.79</v>
      </c>
      <c r="E467"/>
      <c r="F467"/>
      <c r="G467"/>
      <c r="H467"/>
    </row>
    <row r="468" spans="2:8" ht="13.8" thickTop="1" x14ac:dyDescent="0.25">
      <c r="B468" s="184"/>
      <c r="C468" s="256"/>
      <c r="D468" s="225"/>
      <c r="E468"/>
      <c r="F468"/>
      <c r="G468"/>
      <c r="H468"/>
    </row>
    <row r="469" spans="2:8" x14ac:dyDescent="0.25">
      <c r="B469" s="224" t="s">
        <v>322</v>
      </c>
      <c r="C469" s="184"/>
      <c r="D469" s="225"/>
      <c r="E469"/>
      <c r="F469"/>
      <c r="G469"/>
      <c r="H469"/>
    </row>
    <row r="470" spans="2:8" x14ac:dyDescent="0.25">
      <c r="B470" s="184" t="s">
        <v>323</v>
      </c>
      <c r="C470" s="184" t="s">
        <v>323</v>
      </c>
      <c r="D470" s="225">
        <v>0</v>
      </c>
      <c r="E470"/>
      <c r="F470"/>
      <c r="G470"/>
      <c r="H470"/>
    </row>
    <row r="471" spans="2:8" x14ac:dyDescent="0.25">
      <c r="B471" s="184" t="s">
        <v>324</v>
      </c>
      <c r="C471" s="184" t="s">
        <v>324</v>
      </c>
      <c r="D471" s="225">
        <v>0</v>
      </c>
      <c r="E471"/>
      <c r="F471"/>
      <c r="G471"/>
      <c r="H471"/>
    </row>
    <row r="472" spans="2:8" x14ac:dyDescent="0.25">
      <c r="B472" s="184" t="s">
        <v>325</v>
      </c>
      <c r="C472" s="184" t="s">
        <v>325</v>
      </c>
      <c r="D472" s="225">
        <v>8299523.9099999992</v>
      </c>
      <c r="E472"/>
      <c r="F472"/>
      <c r="G472"/>
      <c r="H472"/>
    </row>
    <row r="473" spans="2:8" x14ac:dyDescent="0.25">
      <c r="B473" s="184"/>
      <c r="C473" s="256"/>
      <c r="D473" s="225"/>
      <c r="E473"/>
      <c r="F473"/>
      <c r="G473"/>
      <c r="H473"/>
    </row>
    <row r="474" spans="2:8" ht="13.8" thickBot="1" x14ac:dyDescent="0.3">
      <c r="B474" s="184"/>
      <c r="C474" s="260" t="s">
        <v>326</v>
      </c>
      <c r="D474" s="228">
        <f>SUM(D470:D473)</f>
        <v>8299523.9099999992</v>
      </c>
      <c r="E474"/>
      <c r="F474"/>
      <c r="G474"/>
      <c r="H474"/>
    </row>
    <row r="475" spans="2:8" ht="13.8" thickTop="1" x14ac:dyDescent="0.25">
      <c r="B475" s="224"/>
      <c r="C475" s="184"/>
      <c r="D475" s="225"/>
      <c r="E475"/>
      <c r="F475"/>
      <c r="G475"/>
      <c r="H475"/>
    </row>
    <row r="476" spans="2:8" x14ac:dyDescent="0.25">
      <c r="B476" s="224" t="s">
        <v>327</v>
      </c>
      <c r="C476" s="184"/>
      <c r="D476" s="225"/>
      <c r="E476"/>
      <c r="F476"/>
      <c r="G476"/>
      <c r="H476"/>
    </row>
    <row r="477" spans="2:8" x14ac:dyDescent="0.25">
      <c r="B477" s="256" t="s">
        <v>328</v>
      </c>
      <c r="C477" s="256" t="s">
        <v>328</v>
      </c>
      <c r="D477" s="225">
        <v>25000000.000000011</v>
      </c>
      <c r="E477"/>
      <c r="F477"/>
      <c r="G477"/>
      <c r="H477"/>
    </row>
    <row r="478" spans="2:8" x14ac:dyDescent="0.25">
      <c r="B478" s="256" t="s">
        <v>329</v>
      </c>
      <c r="C478" s="256" t="s">
        <v>329</v>
      </c>
      <c r="D478" s="225">
        <v>15000000</v>
      </c>
      <c r="E478"/>
      <c r="F478"/>
      <c r="G478"/>
      <c r="H478"/>
    </row>
    <row r="479" spans="2:8" x14ac:dyDescent="0.25">
      <c r="B479" s="184"/>
      <c r="C479" s="256"/>
      <c r="D479" s="225"/>
      <c r="E479"/>
      <c r="F479"/>
      <c r="G479"/>
      <c r="H479"/>
    </row>
    <row r="480" spans="2:8" ht="13.8" thickBot="1" x14ac:dyDescent="0.3">
      <c r="B480" s="184"/>
      <c r="C480" s="260" t="s">
        <v>330</v>
      </c>
      <c r="D480" s="228">
        <f>SUM(D477:D479)</f>
        <v>40000000.000000015</v>
      </c>
      <c r="E480"/>
      <c r="F480"/>
      <c r="G480"/>
      <c r="H480"/>
    </row>
    <row r="481" spans="2:8" ht="13.8" thickTop="1" x14ac:dyDescent="0.25">
      <c r="B481" s="184"/>
      <c r="C481" s="256"/>
      <c r="D481" s="225"/>
      <c r="E481"/>
      <c r="F481"/>
      <c r="G481"/>
      <c r="H481"/>
    </row>
    <row r="482" spans="2:8" x14ac:dyDescent="0.25">
      <c r="B482" s="224" t="s">
        <v>331</v>
      </c>
      <c r="C482" s="184"/>
      <c r="D482" s="225"/>
      <c r="E482"/>
      <c r="F482"/>
      <c r="G482"/>
      <c r="H482"/>
    </row>
    <row r="483" spans="2:8" x14ac:dyDescent="0.25">
      <c r="B483" s="256" t="s">
        <v>332</v>
      </c>
      <c r="C483" s="256" t="s">
        <v>332</v>
      </c>
      <c r="D483" s="225">
        <v>4000000</v>
      </c>
      <c r="E483"/>
      <c r="F483"/>
      <c r="G483"/>
      <c r="H483"/>
    </row>
    <row r="484" spans="2:8" x14ac:dyDescent="0.25">
      <c r="B484" s="256" t="s">
        <v>333</v>
      </c>
      <c r="C484" s="256" t="s">
        <v>333</v>
      </c>
      <c r="D484" s="225">
        <v>467976.92</v>
      </c>
      <c r="E484"/>
      <c r="F484"/>
      <c r="G484"/>
      <c r="H484"/>
    </row>
    <row r="485" spans="2:8" x14ac:dyDescent="0.25">
      <c r="B485" s="256" t="s">
        <v>334</v>
      </c>
      <c r="C485" s="256" t="s">
        <v>334</v>
      </c>
      <c r="D485" s="225">
        <v>0</v>
      </c>
      <c r="E485"/>
      <c r="F485"/>
      <c r="G485"/>
      <c r="H485"/>
    </row>
    <row r="486" spans="2:8" x14ac:dyDescent="0.25">
      <c r="B486" s="256" t="s">
        <v>335</v>
      </c>
      <c r="C486" s="256" t="s">
        <v>335</v>
      </c>
      <c r="D486" s="225">
        <v>5000</v>
      </c>
      <c r="E486"/>
      <c r="F486"/>
      <c r="G486"/>
      <c r="H486"/>
    </row>
    <row r="487" spans="2:8" x14ac:dyDescent="0.25">
      <c r="B487" s="256" t="s">
        <v>316</v>
      </c>
      <c r="C487" s="256" t="s">
        <v>316</v>
      </c>
      <c r="D487" s="225">
        <v>0</v>
      </c>
      <c r="E487"/>
      <c r="F487"/>
      <c r="G487"/>
      <c r="H487"/>
    </row>
    <row r="488" spans="2:8" x14ac:dyDescent="0.25">
      <c r="B488" s="184"/>
      <c r="C488" s="256"/>
      <c r="D488" s="225"/>
      <c r="E488"/>
      <c r="F488"/>
      <c r="G488"/>
      <c r="H488"/>
    </row>
    <row r="489" spans="2:8" ht="13.8" thickBot="1" x14ac:dyDescent="0.3">
      <c r="B489" s="184"/>
      <c r="C489" s="260" t="s">
        <v>336</v>
      </c>
      <c r="D489" s="228">
        <f>SUM(D483:D488)</f>
        <v>4472976.92</v>
      </c>
      <c r="E489"/>
      <c r="F489"/>
      <c r="G489"/>
      <c r="H489"/>
    </row>
    <row r="490" spans="2:8" ht="13.8" thickTop="1" x14ac:dyDescent="0.25">
      <c r="B490" s="184"/>
      <c r="C490" s="256"/>
      <c r="D490" s="225"/>
      <c r="E490"/>
      <c r="F490"/>
      <c r="G490"/>
      <c r="H490"/>
    </row>
    <row r="491" spans="2:8" x14ac:dyDescent="0.25">
      <c r="B491" s="224" t="s">
        <v>337</v>
      </c>
      <c r="C491" s="184"/>
      <c r="D491" s="225"/>
      <c r="E491"/>
      <c r="F491"/>
      <c r="G491"/>
      <c r="H491"/>
    </row>
    <row r="492" spans="2:8" x14ac:dyDescent="0.25">
      <c r="B492" s="256" t="s">
        <v>338</v>
      </c>
      <c r="C492" s="256" t="s">
        <v>338</v>
      </c>
      <c r="D492" s="225">
        <v>0</v>
      </c>
      <c r="E492"/>
      <c r="F492"/>
      <c r="G492"/>
      <c r="H492"/>
    </row>
    <row r="493" spans="2:8" x14ac:dyDescent="0.25">
      <c r="B493" s="256" t="s">
        <v>339</v>
      </c>
      <c r="C493" s="256" t="s">
        <v>339</v>
      </c>
      <c r="D493" s="225">
        <v>0</v>
      </c>
      <c r="E493"/>
      <c r="F493"/>
      <c r="G493"/>
      <c r="H493"/>
    </row>
    <row r="494" spans="2:8" x14ac:dyDescent="0.25">
      <c r="B494" s="184"/>
      <c r="C494" s="256"/>
      <c r="D494" s="225"/>
      <c r="E494"/>
      <c r="F494"/>
      <c r="G494"/>
      <c r="H494"/>
    </row>
    <row r="495" spans="2:8" ht="13.8" thickBot="1" x14ac:dyDescent="0.3">
      <c r="B495" s="184"/>
      <c r="C495" s="260" t="s">
        <v>340</v>
      </c>
      <c r="D495" s="228">
        <v>0</v>
      </c>
      <c r="E495"/>
      <c r="F495"/>
      <c r="G495"/>
      <c r="H495"/>
    </row>
    <row r="496" spans="2:8" ht="13.8" thickTop="1" x14ac:dyDescent="0.25">
      <c r="B496" s="184"/>
      <c r="C496" s="256"/>
      <c r="D496" s="225"/>
      <c r="E496"/>
      <c r="F496"/>
      <c r="G496"/>
      <c r="H496"/>
    </row>
    <row r="497" spans="2:8" x14ac:dyDescent="0.25">
      <c r="B497" s="224" t="s">
        <v>341</v>
      </c>
      <c r="C497" s="184"/>
      <c r="D497" s="226"/>
      <c r="E497"/>
      <c r="F497"/>
      <c r="G497"/>
      <c r="H497"/>
    </row>
    <row r="498" spans="2:8" x14ac:dyDescent="0.25">
      <c r="B498" s="184" t="s">
        <v>342</v>
      </c>
      <c r="C498" s="184" t="s">
        <v>342</v>
      </c>
      <c r="D498" s="226">
        <v>0</v>
      </c>
      <c r="E498"/>
      <c r="F498"/>
      <c r="G498"/>
      <c r="H498"/>
    </row>
    <row r="499" spans="2:8" x14ac:dyDescent="0.25">
      <c r="B499" s="184" t="s">
        <v>332</v>
      </c>
      <c r="C499" s="184" t="s">
        <v>332</v>
      </c>
      <c r="D499" s="226">
        <v>5671525.9100000001</v>
      </c>
      <c r="E499"/>
      <c r="F499"/>
      <c r="G499"/>
      <c r="H499"/>
    </row>
    <row r="500" spans="2:8" x14ac:dyDescent="0.25">
      <c r="B500" s="184" t="s">
        <v>344</v>
      </c>
      <c r="C500" s="184" t="s">
        <v>344</v>
      </c>
      <c r="D500" s="226">
        <v>7873.27</v>
      </c>
      <c r="E500"/>
      <c r="F500"/>
      <c r="G500"/>
      <c r="H500"/>
    </row>
    <row r="501" spans="2:8" x14ac:dyDescent="0.25">
      <c r="B501" s="184" t="s">
        <v>334</v>
      </c>
      <c r="C501" s="184" t="s">
        <v>334</v>
      </c>
      <c r="D501" s="226">
        <v>0</v>
      </c>
      <c r="E501"/>
      <c r="F501"/>
      <c r="G501"/>
      <c r="H501"/>
    </row>
    <row r="502" spans="2:8" x14ac:dyDescent="0.25">
      <c r="B502" s="184" t="s">
        <v>345</v>
      </c>
      <c r="C502" s="184" t="s">
        <v>345</v>
      </c>
      <c r="D502" s="226">
        <v>0</v>
      </c>
      <c r="E502"/>
      <c r="F502"/>
      <c r="G502"/>
      <c r="H502"/>
    </row>
    <row r="503" spans="2:8" x14ac:dyDescent="0.25">
      <c r="B503" s="184" t="s">
        <v>346</v>
      </c>
      <c r="C503" s="184" t="s">
        <v>346</v>
      </c>
      <c r="D503" s="344">
        <v>122364.90999999999</v>
      </c>
      <c r="E503"/>
      <c r="F503"/>
      <c r="G503"/>
      <c r="H503"/>
    </row>
    <row r="504" spans="2:8" x14ac:dyDescent="0.25">
      <c r="B504" s="184" t="s">
        <v>335</v>
      </c>
      <c r="C504" s="184" t="s">
        <v>335</v>
      </c>
      <c r="D504" s="226">
        <v>0</v>
      </c>
      <c r="E504"/>
      <c r="F504"/>
      <c r="G504"/>
      <c r="H504"/>
    </row>
    <row r="505" spans="2:8" x14ac:dyDescent="0.25">
      <c r="B505" s="184" t="s">
        <v>316</v>
      </c>
      <c r="C505" s="184" t="s">
        <v>316</v>
      </c>
      <c r="D505" s="226">
        <v>219205.91999999998</v>
      </c>
      <c r="E505"/>
      <c r="F505"/>
      <c r="G505"/>
      <c r="H505"/>
    </row>
    <row r="506" spans="2:8" x14ac:dyDescent="0.25">
      <c r="B506" s="184"/>
      <c r="C506" s="184"/>
      <c r="D506" s="226"/>
      <c r="E506"/>
      <c r="F506"/>
      <c r="G506"/>
      <c r="H506"/>
    </row>
    <row r="507" spans="2:8" ht="13.8" thickBot="1" x14ac:dyDescent="0.3">
      <c r="B507" s="184"/>
      <c r="C507" s="260" t="s">
        <v>347</v>
      </c>
      <c r="D507" s="228">
        <f>SUM(D498:D506)</f>
        <v>6020970.0099999998</v>
      </c>
      <c r="E507"/>
      <c r="F507"/>
      <c r="G507"/>
      <c r="H507"/>
    </row>
    <row r="508" spans="2:8" ht="13.8" thickTop="1" x14ac:dyDescent="0.25">
      <c r="B508" s="184"/>
      <c r="C508" s="184"/>
      <c r="D508" s="226"/>
      <c r="E508"/>
      <c r="F508"/>
      <c r="G508"/>
      <c r="H508"/>
    </row>
    <row r="509" spans="2:8" x14ac:dyDescent="0.25">
      <c r="B509" s="224" t="s">
        <v>348</v>
      </c>
      <c r="C509" s="184"/>
      <c r="D509" s="226"/>
      <c r="E509"/>
      <c r="F509"/>
      <c r="G509"/>
      <c r="H509"/>
    </row>
    <row r="510" spans="2:8" hidden="1" x14ac:dyDescent="0.25">
      <c r="B510" s="184"/>
      <c r="C510" s="329" t="s">
        <v>349</v>
      </c>
      <c r="D510" s="226">
        <v>0</v>
      </c>
      <c r="E510"/>
      <c r="F510"/>
      <c r="G510"/>
      <c r="H510"/>
    </row>
    <row r="511" spans="2:8" hidden="1" x14ac:dyDescent="0.25">
      <c r="B511" s="184"/>
      <c r="C511" s="329" t="s">
        <v>332</v>
      </c>
      <c r="D511" s="226">
        <v>0</v>
      </c>
      <c r="E511"/>
      <c r="F511"/>
      <c r="G511"/>
      <c r="H511"/>
    </row>
    <row r="512" spans="2:8" x14ac:dyDescent="0.25">
      <c r="B512" s="184" t="s">
        <v>350</v>
      </c>
      <c r="C512" s="184" t="s">
        <v>350</v>
      </c>
      <c r="D512" s="226">
        <v>0</v>
      </c>
      <c r="E512"/>
      <c r="F512"/>
      <c r="G512"/>
      <c r="H512"/>
    </row>
    <row r="513" spans="2:8" hidden="1" x14ac:dyDescent="0.25">
      <c r="B513" s="184" t="s">
        <v>345</v>
      </c>
      <c r="C513" s="329" t="s">
        <v>345</v>
      </c>
      <c r="D513" s="226">
        <v>0</v>
      </c>
      <c r="E513"/>
      <c r="F513"/>
      <c r="G513"/>
      <c r="H513"/>
    </row>
    <row r="514" spans="2:8" x14ac:dyDescent="0.25">
      <c r="B514" s="184" t="s">
        <v>335</v>
      </c>
      <c r="C514" s="184" t="s">
        <v>335</v>
      </c>
      <c r="D514" s="226">
        <v>0</v>
      </c>
      <c r="E514"/>
      <c r="F514"/>
      <c r="G514"/>
      <c r="H514"/>
    </row>
    <row r="515" spans="2:8" x14ac:dyDescent="0.25">
      <c r="B515" s="184"/>
      <c r="C515" s="184"/>
      <c r="D515" s="226"/>
      <c r="E515"/>
      <c r="F515"/>
      <c r="G515"/>
      <c r="H515"/>
    </row>
    <row r="516" spans="2:8" ht="13.8" thickBot="1" x14ac:dyDescent="0.3">
      <c r="B516" s="184"/>
      <c r="C516" s="260" t="s">
        <v>351</v>
      </c>
      <c r="D516" s="228">
        <f>SUM(D510:D515)</f>
        <v>0</v>
      </c>
      <c r="E516"/>
      <c r="F516"/>
      <c r="G516"/>
      <c r="H516"/>
    </row>
    <row r="517" spans="2:8" ht="13.8" thickTop="1" x14ac:dyDescent="0.25">
      <c r="B517" s="184"/>
      <c r="C517" s="184"/>
      <c r="D517" s="226"/>
      <c r="E517"/>
      <c r="F517"/>
      <c r="G517"/>
      <c r="H517"/>
    </row>
    <row r="518" spans="2:8" x14ac:dyDescent="0.25">
      <c r="B518" s="224" t="s">
        <v>352</v>
      </c>
      <c r="C518" s="184"/>
      <c r="D518" s="226"/>
      <c r="E518"/>
      <c r="F518"/>
      <c r="G518"/>
      <c r="H518"/>
    </row>
    <row r="519" spans="2:8" hidden="1" x14ac:dyDescent="0.25">
      <c r="B519" s="184"/>
      <c r="C519" s="329" t="s">
        <v>349</v>
      </c>
      <c r="D519" s="226">
        <v>0</v>
      </c>
      <c r="E519"/>
      <c r="F519"/>
      <c r="G519"/>
      <c r="H519"/>
    </row>
    <row r="520" spans="2:8" hidden="1" x14ac:dyDescent="0.25">
      <c r="B520" s="184"/>
      <c r="C520" s="329" t="s">
        <v>332</v>
      </c>
      <c r="D520" s="226">
        <v>0</v>
      </c>
      <c r="E520"/>
      <c r="F520"/>
      <c r="G520"/>
      <c r="H520"/>
    </row>
    <row r="521" spans="2:8" hidden="1" x14ac:dyDescent="0.25">
      <c r="B521" s="184"/>
      <c r="C521" s="329" t="s">
        <v>353</v>
      </c>
      <c r="D521" s="226">
        <v>0</v>
      </c>
      <c r="E521"/>
      <c r="F521"/>
      <c r="G521"/>
      <c r="H521"/>
    </row>
    <row r="522" spans="2:8" x14ac:dyDescent="0.25">
      <c r="B522" s="184" t="s">
        <v>346</v>
      </c>
      <c r="C522" s="184" t="s">
        <v>346</v>
      </c>
      <c r="D522" s="226">
        <v>0</v>
      </c>
      <c r="E522"/>
      <c r="F522"/>
      <c r="G522"/>
      <c r="H522"/>
    </row>
    <row r="523" spans="2:8" x14ac:dyDescent="0.25">
      <c r="B523" s="184" t="s">
        <v>354</v>
      </c>
      <c r="C523" s="184" t="s">
        <v>354</v>
      </c>
      <c r="D523" s="226">
        <v>0</v>
      </c>
      <c r="E523"/>
      <c r="F523"/>
      <c r="G523"/>
      <c r="H523"/>
    </row>
    <row r="524" spans="2:8" x14ac:dyDescent="0.25">
      <c r="B524" s="184" t="s">
        <v>335</v>
      </c>
      <c r="C524" s="184" t="s">
        <v>335</v>
      </c>
      <c r="D524" s="226">
        <v>13853.66</v>
      </c>
      <c r="E524"/>
      <c r="F524"/>
      <c r="G524"/>
      <c r="H524"/>
    </row>
    <row r="525" spans="2:8" hidden="1" x14ac:dyDescent="0.25">
      <c r="B525" s="184"/>
      <c r="C525" s="329" t="s">
        <v>355</v>
      </c>
      <c r="D525" s="226">
        <v>0</v>
      </c>
      <c r="E525"/>
      <c r="F525"/>
      <c r="G525"/>
      <c r="H525"/>
    </row>
    <row r="526" spans="2:8" x14ac:dyDescent="0.25">
      <c r="B526" s="184"/>
      <c r="C526" s="184"/>
      <c r="D526" s="226"/>
      <c r="E526"/>
      <c r="F526"/>
      <c r="G526"/>
      <c r="H526"/>
    </row>
    <row r="527" spans="2:8" ht="13.8" thickBot="1" x14ac:dyDescent="0.3">
      <c r="B527" s="184"/>
      <c r="C527" s="260" t="s">
        <v>356</v>
      </c>
      <c r="D527" s="228">
        <f>SUM(D519:D526)</f>
        <v>13853.66</v>
      </c>
      <c r="E527"/>
      <c r="F527"/>
      <c r="G527"/>
      <c r="H527"/>
    </row>
    <row r="528" spans="2:8" ht="13.8" thickTop="1" x14ac:dyDescent="0.25">
      <c r="B528" s="184"/>
      <c r="C528" s="184"/>
      <c r="D528" s="226"/>
      <c r="E528"/>
      <c r="F528"/>
      <c r="G528"/>
      <c r="H528"/>
    </row>
    <row r="529" spans="2:8" x14ac:dyDescent="0.25">
      <c r="B529" s="224" t="s">
        <v>357</v>
      </c>
      <c r="C529" s="184"/>
      <c r="D529" s="226"/>
      <c r="E529"/>
      <c r="F529"/>
      <c r="G529"/>
      <c r="H529"/>
    </row>
    <row r="530" spans="2:8" x14ac:dyDescent="0.25">
      <c r="B530" s="184" t="s">
        <v>358</v>
      </c>
      <c r="C530" s="184" t="s">
        <v>358</v>
      </c>
      <c r="D530" s="226">
        <v>0</v>
      </c>
      <c r="E530"/>
      <c r="F530"/>
      <c r="G530"/>
      <c r="H530"/>
    </row>
    <row r="531" spans="2:8" hidden="1" x14ac:dyDescent="0.25">
      <c r="B531" s="184" t="s">
        <v>353</v>
      </c>
      <c r="C531" s="329" t="s">
        <v>353</v>
      </c>
      <c r="D531" s="226">
        <v>0</v>
      </c>
      <c r="E531"/>
      <c r="F531"/>
      <c r="G531"/>
      <c r="H531"/>
    </row>
    <row r="532" spans="2:8" x14ac:dyDescent="0.25">
      <c r="B532" s="184" t="s">
        <v>335</v>
      </c>
      <c r="C532" s="184" t="s">
        <v>335</v>
      </c>
      <c r="D532" s="226">
        <v>0</v>
      </c>
      <c r="E532"/>
      <c r="F532"/>
      <c r="G532"/>
      <c r="H532"/>
    </row>
    <row r="533" spans="2:8" x14ac:dyDescent="0.25">
      <c r="B533" s="184" t="s">
        <v>355</v>
      </c>
      <c r="C533" s="184" t="s">
        <v>355</v>
      </c>
      <c r="D533" s="226">
        <v>0</v>
      </c>
      <c r="E533"/>
      <c r="F533"/>
      <c r="G533"/>
      <c r="H533"/>
    </row>
    <row r="534" spans="2:8" x14ac:dyDescent="0.25">
      <c r="B534" s="184"/>
      <c r="C534" s="184"/>
      <c r="D534" s="226"/>
      <c r="E534"/>
      <c r="F534"/>
      <c r="G534"/>
      <c r="H534"/>
    </row>
    <row r="535" spans="2:8" ht="13.8" thickBot="1" x14ac:dyDescent="0.3">
      <c r="B535" s="184"/>
      <c r="C535" s="260" t="s">
        <v>359</v>
      </c>
      <c r="D535" s="252">
        <f>SUM(D530:D534)</f>
        <v>0</v>
      </c>
      <c r="E535"/>
      <c r="F535"/>
      <c r="G535"/>
      <c r="H535"/>
    </row>
    <row r="536" spans="2:8" ht="13.8" thickTop="1" x14ac:dyDescent="0.25">
      <c r="B536" s="184"/>
      <c r="C536" s="184"/>
      <c r="D536" s="226"/>
      <c r="E536"/>
      <c r="F536"/>
      <c r="G536"/>
      <c r="H536"/>
    </row>
    <row r="537" spans="2:8" x14ac:dyDescent="0.25">
      <c r="B537" s="224" t="s">
        <v>360</v>
      </c>
      <c r="C537" s="184"/>
      <c r="D537" s="226"/>
      <c r="E537"/>
      <c r="F537"/>
      <c r="G537"/>
      <c r="H537"/>
    </row>
    <row r="538" spans="2:8" x14ac:dyDescent="0.25">
      <c r="B538" s="184"/>
      <c r="C538" s="184" t="s">
        <v>361</v>
      </c>
      <c r="D538" s="226">
        <v>0</v>
      </c>
      <c r="E538"/>
      <c r="F538"/>
      <c r="G538"/>
      <c r="H538"/>
    </row>
    <row r="539" spans="2:8" x14ac:dyDescent="0.25">
      <c r="B539" s="184"/>
      <c r="C539" s="184" t="s">
        <v>353</v>
      </c>
      <c r="D539" s="226">
        <v>0</v>
      </c>
      <c r="E539"/>
      <c r="F539"/>
      <c r="G539"/>
      <c r="H539"/>
    </row>
    <row r="540" spans="2:8" x14ac:dyDescent="0.25">
      <c r="B540" s="184" t="s">
        <v>362</v>
      </c>
      <c r="C540" s="184" t="s">
        <v>362</v>
      </c>
      <c r="D540" s="226">
        <v>0</v>
      </c>
      <c r="E540"/>
      <c r="F540"/>
      <c r="G540"/>
      <c r="H540"/>
    </row>
    <row r="541" spans="2:8" hidden="1" x14ac:dyDescent="0.25">
      <c r="B541" s="184" t="s">
        <v>355</v>
      </c>
      <c r="C541" s="329" t="s">
        <v>355</v>
      </c>
      <c r="D541" s="226">
        <v>0</v>
      </c>
      <c r="E541"/>
      <c r="F541"/>
      <c r="G541"/>
      <c r="H541"/>
    </row>
    <row r="542" spans="2:8" x14ac:dyDescent="0.25">
      <c r="B542" s="184" t="s">
        <v>363</v>
      </c>
      <c r="C542" s="184" t="s">
        <v>363</v>
      </c>
      <c r="D542" s="226">
        <v>0</v>
      </c>
      <c r="E542"/>
      <c r="F542"/>
      <c r="G542"/>
      <c r="H542"/>
    </row>
    <row r="543" spans="2:8" hidden="1" x14ac:dyDescent="0.25">
      <c r="B543" s="184"/>
      <c r="C543" s="329" t="s">
        <v>364</v>
      </c>
      <c r="D543" s="226">
        <v>0</v>
      </c>
      <c r="E543"/>
      <c r="F543"/>
      <c r="G543"/>
      <c r="H543"/>
    </row>
    <row r="544" spans="2:8" x14ac:dyDescent="0.25">
      <c r="B544" s="184"/>
      <c r="C544" s="184"/>
      <c r="D544" s="226"/>
      <c r="E544"/>
      <c r="F544"/>
      <c r="G544"/>
      <c r="H544"/>
    </row>
    <row r="545" spans="2:8" ht="13.8" thickBot="1" x14ac:dyDescent="0.3">
      <c r="B545" s="184"/>
      <c r="C545" s="260" t="s">
        <v>365</v>
      </c>
      <c r="D545" s="252">
        <f>SUM(D538:D544)</f>
        <v>0</v>
      </c>
      <c r="E545"/>
      <c r="F545"/>
      <c r="G545"/>
      <c r="H545"/>
    </row>
    <row r="546" spans="2:8" ht="13.8" thickTop="1" x14ac:dyDescent="0.25">
      <c r="B546" s="184"/>
      <c r="C546" s="264"/>
      <c r="D546" s="267"/>
      <c r="E546"/>
      <c r="F546"/>
      <c r="G546"/>
      <c r="H546"/>
    </row>
    <row r="547" spans="2:8" x14ac:dyDescent="0.25">
      <c r="B547" s="184"/>
      <c r="C547" s="258" t="s">
        <v>366</v>
      </c>
      <c r="D547" s="268">
        <f>D467+D474+D480+D489+D495+D507+D516+D527+D535+D545+D461+D454</f>
        <v>61467251.390000015</v>
      </c>
      <c r="E547" s="36">
        <f>D547+D448</f>
        <v>115192723.65000001</v>
      </c>
      <c r="F547" s="123" t="s">
        <v>520</v>
      </c>
      <c r="G547"/>
      <c r="H547"/>
    </row>
    <row r="548" spans="2:8" x14ac:dyDescent="0.25">
      <c r="B548" s="184"/>
      <c r="C548" s="224"/>
      <c r="D548" s="225"/>
      <c r="E548"/>
      <c r="F548"/>
      <c r="G548"/>
      <c r="H548"/>
    </row>
    <row r="549" spans="2:8" x14ac:dyDescent="0.25">
      <c r="B549" s="184"/>
      <c r="C549" s="184" t="s">
        <v>368</v>
      </c>
      <c r="D549" s="269">
        <v>337504.25</v>
      </c>
      <c r="E549"/>
      <c r="F549"/>
      <c r="G549"/>
      <c r="H549"/>
    </row>
    <row r="550" spans="2:8" x14ac:dyDescent="0.25">
      <c r="B550" s="184"/>
      <c r="C550" s="184"/>
      <c r="D550" s="269"/>
      <c r="E550"/>
      <c r="F550"/>
      <c r="G550"/>
      <c r="H550"/>
    </row>
    <row r="551" spans="2:8" x14ac:dyDescent="0.25">
      <c r="B551" s="184"/>
      <c r="C551" s="184"/>
      <c r="D551" s="269"/>
      <c r="E551"/>
      <c r="F551"/>
      <c r="G551"/>
      <c r="H551"/>
    </row>
    <row r="552" spans="2:8" ht="13.8" thickBot="1" x14ac:dyDescent="0.3">
      <c r="B552" s="194"/>
      <c r="C552" s="270"/>
      <c r="D552" s="271">
        <f>D448+D547+D549</f>
        <v>115530227.90000001</v>
      </c>
      <c r="E552" s="36">
        <f>D552-D549</f>
        <v>115192723.65000001</v>
      </c>
      <c r="F552"/>
      <c r="G552"/>
      <c r="H552"/>
    </row>
    <row r="553" spans="2:8" ht="13.8" thickTop="1" x14ac:dyDescent="0.25">
      <c r="B553" s="184"/>
      <c r="C553" s="184"/>
      <c r="D553" s="186"/>
      <c r="E553"/>
      <c r="F553"/>
      <c r="G553"/>
      <c r="H553"/>
    </row>
    <row r="554" spans="2:8" x14ac:dyDescent="0.25">
      <c r="B554" s="184"/>
      <c r="C554" s="254"/>
      <c r="D554" s="230"/>
      <c r="E554"/>
      <c r="F554"/>
      <c r="G554"/>
      <c r="H554"/>
    </row>
    <row r="555" spans="2:8" x14ac:dyDescent="0.25">
      <c r="B555" s="184"/>
      <c r="C555" s="184"/>
      <c r="D555" s="194"/>
      <c r="E555"/>
      <c r="F555"/>
      <c r="G555"/>
      <c r="H555"/>
    </row>
    <row r="556" spans="2:8" x14ac:dyDescent="0.25">
      <c r="B556" s="184"/>
      <c r="C556" s="184"/>
      <c r="D556" s="230"/>
      <c r="E556"/>
      <c r="F556"/>
      <c r="G556"/>
      <c r="H556"/>
    </row>
    <row r="557" spans="2:8" x14ac:dyDescent="0.25">
      <c r="C557" s="184"/>
      <c r="D557" s="184"/>
      <c r="E557" s="230"/>
    </row>
    <row r="558" spans="2:8" x14ac:dyDescent="0.25">
      <c r="C558" s="184"/>
      <c r="D558" s="184"/>
      <c r="E558" s="255"/>
    </row>
    <row r="559" spans="2:8" x14ac:dyDescent="0.25">
      <c r="C559" s="184"/>
      <c r="D559" s="184"/>
      <c r="E559" s="230"/>
    </row>
    <row r="560" spans="2:8" x14ac:dyDescent="0.25">
      <c r="C560" s="184"/>
      <c r="D560" s="184"/>
      <c r="E560" s="186"/>
    </row>
    <row r="561" spans="3:5" x14ac:dyDescent="0.25">
      <c r="C561" s="184"/>
      <c r="D561" s="184"/>
      <c r="E561" s="230"/>
    </row>
    <row r="562" spans="3:5" x14ac:dyDescent="0.25">
      <c r="C562" s="184"/>
      <c r="D562" s="186"/>
      <c r="E562" s="186"/>
    </row>
    <row r="563" spans="3:5" x14ac:dyDescent="0.25">
      <c r="C563" s="184"/>
      <c r="D563" s="186"/>
      <c r="E563" s="230"/>
    </row>
    <row r="564" spans="3:5" x14ac:dyDescent="0.25">
      <c r="C564" s="184"/>
      <c r="D564" s="184"/>
      <c r="E564" s="186"/>
    </row>
    <row r="565" spans="3:5" x14ac:dyDescent="0.25">
      <c r="C565" s="184"/>
      <c r="D565" s="184"/>
      <c r="E565" s="194"/>
    </row>
    <row r="566" spans="3:5" x14ac:dyDescent="0.25">
      <c r="C566" s="184"/>
      <c r="D566" s="184"/>
      <c r="E566" s="186"/>
    </row>
    <row r="567" spans="3:5" x14ac:dyDescent="0.25">
      <c r="C567" s="184"/>
      <c r="D567" s="184"/>
      <c r="E567" s="194"/>
    </row>
    <row r="568" spans="3:5" x14ac:dyDescent="0.25">
      <c r="C568" s="184"/>
      <c r="D568" s="184"/>
      <c r="E568" s="186"/>
    </row>
    <row r="569" spans="3:5" x14ac:dyDescent="0.25">
      <c r="C569" s="184"/>
      <c r="D569" s="184"/>
      <c r="E569" s="194"/>
    </row>
    <row r="570" spans="3:5" x14ac:dyDescent="0.25">
      <c r="C570" s="184"/>
      <c r="D570" s="184"/>
      <c r="E570" s="186"/>
    </row>
    <row r="571" spans="3:5" x14ac:dyDescent="0.25">
      <c r="C571" s="184"/>
      <c r="D571" s="184"/>
      <c r="E571" s="194"/>
    </row>
    <row r="572" spans="3:5" x14ac:dyDescent="0.25">
      <c r="C572" s="184"/>
      <c r="D572" s="184"/>
      <c r="E572" s="186"/>
    </row>
    <row r="573" spans="3:5" x14ac:dyDescent="0.25">
      <c r="C573" s="184"/>
      <c r="D573" s="184"/>
      <c r="E573" s="194"/>
    </row>
    <row r="574" spans="3:5" x14ac:dyDescent="0.25">
      <c r="C574" s="184"/>
      <c r="D574" s="184"/>
      <c r="E574" s="186"/>
    </row>
    <row r="575" spans="3:5" x14ac:dyDescent="0.25">
      <c r="C575" s="184"/>
      <c r="D575" s="184"/>
      <c r="E575" s="194"/>
    </row>
    <row r="576" spans="3:5" x14ac:dyDescent="0.25">
      <c r="C576" s="184"/>
      <c r="D576" s="184"/>
      <c r="E576" s="186"/>
    </row>
    <row r="577" spans="3:5" x14ac:dyDescent="0.25">
      <c r="C577" s="184"/>
      <c r="D577" s="184"/>
      <c r="E577" s="194"/>
    </row>
    <row r="578" spans="3:5" x14ac:dyDescent="0.25">
      <c r="C578" s="184"/>
      <c r="D578" s="184"/>
      <c r="E578" s="186"/>
    </row>
    <row r="579" spans="3:5" x14ac:dyDescent="0.25">
      <c r="C579" s="184"/>
      <c r="D579" s="184"/>
      <c r="E579" s="194"/>
    </row>
    <row r="580" spans="3:5" x14ac:dyDescent="0.25">
      <c r="C580" s="184"/>
      <c r="D580" s="184"/>
      <c r="E580" s="186"/>
    </row>
    <row r="581" spans="3:5" x14ac:dyDescent="0.25">
      <c r="C581" s="184"/>
      <c r="D581" s="184"/>
      <c r="E581" s="194"/>
    </row>
    <row r="582" spans="3:5" x14ac:dyDescent="0.25">
      <c r="C582" s="184"/>
      <c r="D582" s="184"/>
      <c r="E582" s="186"/>
    </row>
    <row r="583" spans="3:5" x14ac:dyDescent="0.25">
      <c r="C583" s="184"/>
      <c r="D583" s="184"/>
      <c r="E583" s="194"/>
    </row>
    <row r="584" spans="3:5" x14ac:dyDescent="0.25">
      <c r="C584" s="184"/>
      <c r="D584" s="184"/>
      <c r="E584" s="186"/>
    </row>
    <row r="585" spans="3:5" x14ac:dyDescent="0.25">
      <c r="C585" s="184"/>
      <c r="D585" s="184"/>
      <c r="E585" s="194"/>
    </row>
    <row r="586" spans="3:5" x14ac:dyDescent="0.25">
      <c r="C586" s="184"/>
      <c r="D586" s="184"/>
      <c r="E586" s="186"/>
    </row>
    <row r="587" spans="3:5" x14ac:dyDescent="0.25">
      <c r="C587" s="184"/>
      <c r="D587" s="184"/>
      <c r="E587" s="194"/>
    </row>
    <row r="588" spans="3:5" x14ac:dyDescent="0.25">
      <c r="C588" s="184"/>
      <c r="D588" s="184"/>
      <c r="E588" s="186"/>
    </row>
    <row r="589" spans="3:5" x14ac:dyDescent="0.25">
      <c r="C589" s="184"/>
      <c r="D589" s="184"/>
      <c r="E589" s="194"/>
    </row>
    <row r="590" spans="3:5" x14ac:dyDescent="0.25">
      <c r="C590" s="184"/>
      <c r="D590" s="184"/>
      <c r="E590" s="186"/>
    </row>
    <row r="591" spans="3:5" x14ac:dyDescent="0.25">
      <c r="C591" s="184"/>
      <c r="D591" s="184"/>
      <c r="E591" s="194"/>
    </row>
    <row r="592" spans="3:5" x14ac:dyDescent="0.25">
      <c r="C592" s="184"/>
      <c r="D592" s="184"/>
      <c r="E592" s="186"/>
    </row>
    <row r="593" spans="3:5" x14ac:dyDescent="0.25">
      <c r="C593" s="184"/>
      <c r="D593" s="184"/>
      <c r="E593" s="194"/>
    </row>
    <row r="594" spans="3:5" x14ac:dyDescent="0.25">
      <c r="C594" s="184"/>
      <c r="D594" s="184"/>
      <c r="E594" s="186"/>
    </row>
    <row r="595" spans="3:5" x14ac:dyDescent="0.25">
      <c r="C595" s="184"/>
      <c r="D595" s="184"/>
      <c r="E595" s="194"/>
    </row>
    <row r="596" spans="3:5" x14ac:dyDescent="0.25">
      <c r="C596" s="184"/>
      <c r="D596" s="184"/>
      <c r="E596" s="186"/>
    </row>
    <row r="597" spans="3:5" x14ac:dyDescent="0.25">
      <c r="C597" s="184"/>
      <c r="D597" s="184"/>
      <c r="E597" s="194"/>
    </row>
    <row r="598" spans="3:5" x14ac:dyDescent="0.25">
      <c r="C598" s="184"/>
      <c r="D598" s="184"/>
      <c r="E598" s="186"/>
    </row>
    <row r="599" spans="3:5" x14ac:dyDescent="0.25">
      <c r="C599" s="184"/>
      <c r="D599" s="184"/>
      <c r="E599" s="194"/>
    </row>
    <row r="600" spans="3:5" x14ac:dyDescent="0.25">
      <c r="C600" s="184"/>
      <c r="D600" s="184"/>
      <c r="E600" s="186"/>
    </row>
    <row r="601" spans="3:5" x14ac:dyDescent="0.25">
      <c r="C601" s="184"/>
      <c r="D601" s="184"/>
      <c r="E601" s="194"/>
    </row>
    <row r="602" spans="3:5" x14ac:dyDescent="0.25">
      <c r="C602" s="184"/>
      <c r="D602" s="184"/>
      <c r="E602" s="186"/>
    </row>
    <row r="603" spans="3:5" x14ac:dyDescent="0.25">
      <c r="C603" s="184"/>
      <c r="D603" s="184"/>
      <c r="E603" s="194"/>
    </row>
    <row r="604" spans="3:5" x14ac:dyDescent="0.25">
      <c r="C604" s="184"/>
      <c r="D604" s="184"/>
      <c r="E604" s="186"/>
    </row>
    <row r="605" spans="3:5" x14ac:dyDescent="0.25">
      <c r="C605" s="184"/>
      <c r="D605" s="184"/>
      <c r="E605" s="194"/>
    </row>
    <row r="606" spans="3:5" x14ac:dyDescent="0.25">
      <c r="C606" s="184"/>
      <c r="D606" s="184"/>
      <c r="E606" s="186"/>
    </row>
    <row r="607" spans="3:5" x14ac:dyDescent="0.25">
      <c r="C607" s="184"/>
      <c r="D607" s="184"/>
      <c r="E607" s="194"/>
    </row>
    <row r="608" spans="3:5" x14ac:dyDescent="0.25">
      <c r="C608" s="184"/>
      <c r="D608" s="184"/>
      <c r="E608" s="186"/>
    </row>
    <row r="609" spans="3:5" x14ac:dyDescent="0.25">
      <c r="C609" s="184"/>
      <c r="D609" s="184"/>
      <c r="E609" s="194"/>
    </row>
    <row r="610" spans="3:5" x14ac:dyDescent="0.25">
      <c r="C610" s="184"/>
      <c r="D610" s="184"/>
      <c r="E610" s="185"/>
    </row>
    <row r="611" spans="3:5" x14ac:dyDescent="0.25">
      <c r="C611" s="184"/>
      <c r="D611" s="184"/>
      <c r="E611" s="194"/>
    </row>
    <row r="612" spans="3:5" x14ac:dyDescent="0.25">
      <c r="C612" s="184"/>
      <c r="D612" s="184"/>
      <c r="E612" s="186"/>
    </row>
    <row r="613" spans="3:5" x14ac:dyDescent="0.25">
      <c r="C613" s="184"/>
      <c r="D613" s="184"/>
      <c r="E613" s="194"/>
    </row>
    <row r="614" spans="3:5" x14ac:dyDescent="0.25">
      <c r="C614" s="184"/>
      <c r="D614" s="184"/>
      <c r="E614" s="186"/>
    </row>
    <row r="615" spans="3:5" x14ac:dyDescent="0.25">
      <c r="C615" s="184"/>
      <c r="D615" s="184"/>
      <c r="E615" s="194"/>
    </row>
    <row r="616" spans="3:5" x14ac:dyDescent="0.25">
      <c r="C616" s="184"/>
      <c r="D616" s="184"/>
      <c r="E616" s="190"/>
    </row>
    <row r="617" spans="3:5" x14ac:dyDescent="0.25">
      <c r="C617" s="184"/>
      <c r="D617" s="184"/>
      <c r="E617" s="194"/>
    </row>
    <row r="618" spans="3:5" x14ac:dyDescent="0.25">
      <c r="C618" s="184"/>
      <c r="D618" s="184"/>
      <c r="E618" s="190"/>
    </row>
    <row r="619" spans="3:5" x14ac:dyDescent="0.25">
      <c r="C619" s="184"/>
      <c r="D619" s="184"/>
      <c r="E619" s="194"/>
    </row>
    <row r="620" spans="3:5" x14ac:dyDescent="0.25">
      <c r="C620" s="184"/>
      <c r="D620" s="184"/>
      <c r="E620" s="186"/>
    </row>
    <row r="621" spans="3:5" x14ac:dyDescent="0.25">
      <c r="C621" s="184"/>
      <c r="D621" s="184"/>
      <c r="E621" s="194"/>
    </row>
    <row r="622" spans="3:5" x14ac:dyDescent="0.25">
      <c r="C622" s="184"/>
      <c r="D622" s="184"/>
      <c r="E622" s="186"/>
    </row>
    <row r="623" spans="3:5" x14ac:dyDescent="0.25">
      <c r="C623" s="184"/>
      <c r="D623" s="184"/>
      <c r="E623" s="194"/>
    </row>
    <row r="624" spans="3:5" x14ac:dyDescent="0.25">
      <c r="C624" s="184"/>
      <c r="D624" s="184"/>
      <c r="E624" s="186"/>
    </row>
    <row r="625" spans="3:5" x14ac:dyDescent="0.25">
      <c r="C625" s="184"/>
      <c r="D625" s="184"/>
      <c r="E625" s="194"/>
    </row>
    <row r="626" spans="3:5" x14ac:dyDescent="0.25">
      <c r="C626" s="184"/>
      <c r="D626" s="184"/>
      <c r="E626" s="186"/>
    </row>
    <row r="627" spans="3:5" x14ac:dyDescent="0.25">
      <c r="C627" s="184"/>
      <c r="D627" s="184"/>
      <c r="E627" s="194"/>
    </row>
    <row r="628" spans="3:5" x14ac:dyDescent="0.25">
      <c r="C628" s="184"/>
      <c r="D628" s="184"/>
      <c r="E628" s="186"/>
    </row>
    <row r="629" spans="3:5" x14ac:dyDescent="0.25">
      <c r="C629" s="184"/>
      <c r="D629" s="184"/>
      <c r="E629" s="194"/>
    </row>
    <row r="630" spans="3:5" x14ac:dyDescent="0.25">
      <c r="C630" s="184"/>
      <c r="D630" s="184"/>
      <c r="E630" s="186"/>
    </row>
    <row r="631" spans="3:5" x14ac:dyDescent="0.25">
      <c r="C631" s="184"/>
      <c r="D631" s="184"/>
      <c r="E631" s="194"/>
    </row>
    <row r="632" spans="3:5" x14ac:dyDescent="0.25">
      <c r="C632" s="184"/>
      <c r="D632" s="184"/>
      <c r="E632" s="186"/>
    </row>
    <row r="633" spans="3:5" x14ac:dyDescent="0.25">
      <c r="C633" s="184"/>
      <c r="D633" s="184"/>
      <c r="E633" s="194"/>
    </row>
    <row r="634" spans="3:5" x14ac:dyDescent="0.25">
      <c r="C634" s="184"/>
      <c r="D634" s="184"/>
      <c r="E634" s="186"/>
    </row>
    <row r="635" spans="3:5" x14ac:dyDescent="0.25">
      <c r="C635" s="184"/>
      <c r="D635" s="184"/>
      <c r="E635" s="194"/>
    </row>
    <row r="636" spans="3:5" x14ac:dyDescent="0.25">
      <c r="C636" s="184"/>
      <c r="D636" s="184"/>
      <c r="E636" s="186"/>
    </row>
    <row r="637" spans="3:5" x14ac:dyDescent="0.25">
      <c r="C637" s="184"/>
      <c r="D637" s="184"/>
      <c r="E637" s="194"/>
    </row>
    <row r="638" spans="3:5" x14ac:dyDescent="0.25">
      <c r="C638" s="184"/>
      <c r="D638" s="184"/>
      <c r="E638" s="186"/>
    </row>
    <row r="639" spans="3:5" x14ac:dyDescent="0.25">
      <c r="C639" s="184"/>
      <c r="D639" s="184"/>
      <c r="E639" s="194"/>
    </row>
    <row r="640" spans="3:5" x14ac:dyDescent="0.25">
      <c r="C640" s="184"/>
      <c r="D640" s="184"/>
      <c r="E640" s="186"/>
    </row>
    <row r="641" spans="3:5" x14ac:dyDescent="0.25">
      <c r="C641" s="184"/>
      <c r="D641" s="184"/>
      <c r="E641" s="194"/>
    </row>
    <row r="642" spans="3:5" x14ac:dyDescent="0.25">
      <c r="C642" s="184"/>
      <c r="D642" s="184"/>
      <c r="E642" s="186"/>
    </row>
    <row r="643" spans="3:5" x14ac:dyDescent="0.25">
      <c r="C643" s="184"/>
      <c r="D643" s="184"/>
      <c r="E643" s="194"/>
    </row>
    <row r="644" spans="3:5" x14ac:dyDescent="0.25">
      <c r="C644" s="184"/>
      <c r="D644" s="184"/>
      <c r="E644" s="186"/>
    </row>
    <row r="645" spans="3:5" x14ac:dyDescent="0.25">
      <c r="C645" s="184"/>
      <c r="D645" s="184"/>
      <c r="E645" s="194"/>
    </row>
    <row r="646" spans="3:5" x14ac:dyDescent="0.25">
      <c r="C646" s="184"/>
      <c r="D646" s="184"/>
      <c r="E646" s="186"/>
    </row>
    <row r="647" spans="3:5" x14ac:dyDescent="0.25">
      <c r="C647" s="184"/>
      <c r="D647" s="184"/>
      <c r="E647" s="194"/>
    </row>
    <row r="648" spans="3:5" x14ac:dyDescent="0.25">
      <c r="C648" s="184"/>
      <c r="D648" s="184"/>
      <c r="E648" s="186"/>
    </row>
    <row r="649" spans="3:5" x14ac:dyDescent="0.25">
      <c r="C649" s="184"/>
      <c r="D649" s="184"/>
      <c r="E649" s="194"/>
    </row>
    <row r="650" spans="3:5" x14ac:dyDescent="0.25">
      <c r="C650" s="184"/>
      <c r="D650" s="184"/>
      <c r="E650" s="186"/>
    </row>
    <row r="651" spans="3:5" x14ac:dyDescent="0.25">
      <c r="C651" s="184"/>
      <c r="D651" s="184"/>
      <c r="E651" s="194"/>
    </row>
    <row r="652" spans="3:5" x14ac:dyDescent="0.25">
      <c r="C652" s="184"/>
      <c r="D652" s="184"/>
      <c r="E652" s="186"/>
    </row>
    <row r="653" spans="3:5" x14ac:dyDescent="0.25">
      <c r="C653" s="184"/>
      <c r="D653" s="184"/>
      <c r="E653" s="194"/>
    </row>
    <row r="654" spans="3:5" x14ac:dyDescent="0.25">
      <c r="C654" s="184"/>
      <c r="D654" s="184"/>
      <c r="E654" s="190"/>
    </row>
    <row r="655" spans="3:5" x14ac:dyDescent="0.25">
      <c r="C655" s="184"/>
      <c r="D655" s="184"/>
      <c r="E655" s="194"/>
    </row>
    <row r="656" spans="3:5" x14ac:dyDescent="0.25">
      <c r="C656" s="184"/>
      <c r="D656" s="184"/>
      <c r="E656" s="190"/>
    </row>
    <row r="657" spans="3:5" x14ac:dyDescent="0.25">
      <c r="C657" s="184"/>
      <c r="D657" s="184"/>
      <c r="E657" s="194"/>
    </row>
    <row r="658" spans="3:5" x14ac:dyDescent="0.25">
      <c r="C658" s="184"/>
      <c r="D658" s="184"/>
      <c r="E658" s="190"/>
    </row>
    <row r="659" spans="3:5" x14ac:dyDescent="0.25">
      <c r="D659"/>
      <c r="E659"/>
    </row>
    <row r="660" spans="3:5" x14ac:dyDescent="0.25">
      <c r="D660"/>
      <c r="E660"/>
    </row>
    <row r="661" spans="3:5" x14ac:dyDescent="0.25">
      <c r="D661"/>
      <c r="E661"/>
    </row>
    <row r="662" spans="3:5" x14ac:dyDescent="0.25">
      <c r="D662"/>
      <c r="E662"/>
    </row>
  </sheetData>
  <conditionalFormatting sqref="B119">
    <cfRule type="cellIs" dxfId="126" priority="30" operator="lessThan">
      <formula>0</formula>
    </cfRule>
  </conditionalFormatting>
  <conditionalFormatting sqref="B119:B135">
    <cfRule type="expression" dxfId="125" priority="29">
      <formula>$L119&lt;0</formula>
    </cfRule>
  </conditionalFormatting>
  <conditionalFormatting sqref="B140:B157">
    <cfRule type="expression" dxfId="124" priority="28">
      <formula>$L140&lt;0</formula>
    </cfRule>
  </conditionalFormatting>
  <conditionalFormatting sqref="B162:B178">
    <cfRule type="expression" dxfId="123" priority="27">
      <formula>$L162&lt;0</formula>
    </cfRule>
  </conditionalFormatting>
  <conditionalFormatting sqref="B182:B186">
    <cfRule type="expression" dxfId="122" priority="26">
      <formula>$L182&lt;0</formula>
    </cfRule>
  </conditionalFormatting>
  <conditionalFormatting sqref="B191:B205">
    <cfRule type="expression" dxfId="121" priority="25">
      <formula>$L191&lt;0</formula>
    </cfRule>
  </conditionalFormatting>
  <conditionalFormatting sqref="B210:B229">
    <cfRule type="expression" dxfId="120" priority="24">
      <formula>$L210&lt;0</formula>
    </cfRule>
  </conditionalFormatting>
  <conditionalFormatting sqref="B234:B254">
    <cfRule type="expression" dxfId="119" priority="23">
      <formula>$L234&lt;0</formula>
    </cfRule>
  </conditionalFormatting>
  <conditionalFormatting sqref="B262:B273">
    <cfRule type="expression" dxfId="118" priority="22">
      <formula>$L262&lt;0</formula>
    </cfRule>
  </conditionalFormatting>
  <conditionalFormatting sqref="B280:B291">
    <cfRule type="expression" dxfId="117" priority="21">
      <formula>$L280&lt;0</formula>
    </cfRule>
  </conditionalFormatting>
  <conditionalFormatting sqref="B296:B313">
    <cfRule type="expression" dxfId="116" priority="20">
      <formula>$L296&lt;0</formula>
    </cfRule>
  </conditionalFormatting>
  <conditionalFormatting sqref="B322:B335">
    <cfRule type="expression" dxfId="115" priority="19">
      <formula>$L322&lt;0</formula>
    </cfRule>
  </conditionalFormatting>
  <conditionalFormatting sqref="B344:B355">
    <cfRule type="expression" dxfId="114" priority="18">
      <formula>$L344&lt;0</formula>
    </cfRule>
  </conditionalFormatting>
  <conditionalFormatting sqref="B360:B374">
    <cfRule type="expression" dxfId="113" priority="17">
      <formula>$L360&lt;0</formula>
    </cfRule>
  </conditionalFormatting>
  <conditionalFormatting sqref="B379:B397">
    <cfRule type="expression" dxfId="112" priority="16">
      <formula>$L379&lt;0</formula>
    </cfRule>
  </conditionalFormatting>
  <conditionalFormatting sqref="B403:B405">
    <cfRule type="expression" dxfId="111" priority="15">
      <formula>$L403&lt;0</formula>
    </cfRule>
  </conditionalFormatting>
  <conditionalFormatting sqref="B427">
    <cfRule type="expression" dxfId="110" priority="14">
      <formula>$L427&lt;0</formula>
    </cfRule>
  </conditionalFormatting>
  <conditionalFormatting sqref="B451:B452">
    <cfRule type="expression" dxfId="109" priority="13">
      <formula>$L451&lt;0</formula>
    </cfRule>
  </conditionalFormatting>
  <conditionalFormatting sqref="B457:B459">
    <cfRule type="expression" dxfId="108" priority="12">
      <formula>$L457&lt;0</formula>
    </cfRule>
  </conditionalFormatting>
  <conditionalFormatting sqref="B464:B465">
    <cfRule type="expression" dxfId="107" priority="11">
      <formula>$L464&lt;0</formula>
    </cfRule>
  </conditionalFormatting>
  <conditionalFormatting sqref="B470:B472">
    <cfRule type="expression" dxfId="106" priority="10">
      <formula>$L470&lt;0</formula>
    </cfRule>
  </conditionalFormatting>
  <conditionalFormatting sqref="B477:B478">
    <cfRule type="expression" dxfId="105" priority="9">
      <formula>$L477&lt;0</formula>
    </cfRule>
  </conditionalFormatting>
  <conditionalFormatting sqref="B483:B487">
    <cfRule type="expression" dxfId="104" priority="8">
      <formula>$L483&lt;0</formula>
    </cfRule>
  </conditionalFormatting>
  <conditionalFormatting sqref="B492:B493">
    <cfRule type="expression" dxfId="103" priority="7">
      <formula>$L492&lt;0</formula>
    </cfRule>
  </conditionalFormatting>
  <conditionalFormatting sqref="B498:B505">
    <cfRule type="expression" dxfId="102" priority="6">
      <formula>$L498&lt;0</formula>
    </cfRule>
  </conditionalFormatting>
  <conditionalFormatting sqref="B512:B514">
    <cfRule type="expression" dxfId="101" priority="5">
      <formula>$L512&lt;0</formula>
    </cfRule>
  </conditionalFormatting>
  <conditionalFormatting sqref="B522:B524">
    <cfRule type="expression" dxfId="100" priority="4">
      <formula>$L522&lt;0</formula>
    </cfRule>
  </conditionalFormatting>
  <conditionalFormatting sqref="B530:B533">
    <cfRule type="expression" dxfId="99" priority="3">
      <formula>$L530&lt;0</formula>
    </cfRule>
  </conditionalFormatting>
  <conditionalFormatting sqref="B540:B542">
    <cfRule type="expression" dxfId="98" priority="2">
      <formula>$L540&lt;0</formula>
    </cfRule>
  </conditionalFormatting>
  <conditionalFormatting sqref="C177">
    <cfRule type="expression" dxfId="97" priority="37">
      <formula>$L177&lt;0</formula>
    </cfRule>
  </conditionalFormatting>
  <conditionalFormatting sqref="C253">
    <cfRule type="expression" dxfId="96" priority="34">
      <formula>$L253&lt;0</formula>
    </cfRule>
  </conditionalFormatting>
  <conditionalFormatting sqref="D119">
    <cfRule type="cellIs" dxfId="95" priority="41" operator="lessThan">
      <formula>0</formula>
    </cfRule>
  </conditionalFormatting>
  <conditionalFormatting sqref="D119:D135">
    <cfRule type="expression" dxfId="94" priority="40">
      <formula>$L119&lt;0</formula>
    </cfRule>
  </conditionalFormatting>
  <conditionalFormatting sqref="D137">
    <cfRule type="expression" dxfId="93" priority="39">
      <formula>$L137&lt;0</formula>
    </cfRule>
  </conditionalFormatting>
  <conditionalFormatting sqref="D140:D157">
    <cfRule type="expression" dxfId="92" priority="1">
      <formula>$L140&lt;0</formula>
    </cfRule>
  </conditionalFormatting>
  <conditionalFormatting sqref="D182:D186">
    <cfRule type="expression" dxfId="91" priority="36">
      <formula>$L182&lt;0</formula>
    </cfRule>
  </conditionalFormatting>
  <conditionalFormatting sqref="D231">
    <cfRule type="expression" dxfId="90" priority="35">
      <formula>$L231&lt;0</formula>
    </cfRule>
  </conditionalFormatting>
  <conditionalFormatting sqref="D280:D291">
    <cfRule type="expression" dxfId="89" priority="31">
      <formula>$L280&lt;0</formula>
    </cfRule>
  </conditionalFormatting>
  <conditionalFormatting sqref="D489">
    <cfRule type="expression" dxfId="88" priority="32">
      <formula>$L489&lt;0</formula>
    </cfRule>
  </conditionalFormatting>
  <conditionalFormatting sqref="D507">
    <cfRule type="expression" dxfId="87" priority="33">
      <formula>$L507&lt;0</formula>
    </cfRule>
  </conditionalFormatting>
  <pageMargins left="0.45" right="0.7" top="0.75" bottom="0.75" header="0.3" footer="0.3"/>
  <pageSetup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6207D-4063-4CB4-BB3B-966AB61D7648}">
  <dimension ref="A1:AC683"/>
  <sheetViews>
    <sheetView topLeftCell="A424" workbookViewId="0">
      <selection activeCell="A2" sqref="A2"/>
    </sheetView>
  </sheetViews>
  <sheetFormatPr defaultRowHeight="13.2" x14ac:dyDescent="0.25"/>
  <cols>
    <col min="2" max="2" width="76" bestFit="1" customWidth="1"/>
    <col min="3" max="3" width="18.88671875" bestFit="1" customWidth="1"/>
    <col min="4" max="4" width="15.109375" bestFit="1" customWidth="1"/>
    <col min="5" max="5" width="14" bestFit="1" customWidth="1"/>
    <col min="6" max="6" width="19.21875" bestFit="1" customWidth="1"/>
    <col min="7" max="7" width="26.6640625" bestFit="1" customWidth="1"/>
    <col min="8" max="8" width="14.44140625" bestFit="1" customWidth="1"/>
    <col min="9" max="9" width="12.88671875" bestFit="1" customWidth="1"/>
    <col min="10" max="10" width="17" customWidth="1"/>
    <col min="11" max="11" width="12.88671875" bestFit="1" customWidth="1"/>
    <col min="12" max="12" width="14.44140625" bestFit="1" customWidth="1"/>
    <col min="13" max="15" width="13.44140625" bestFit="1" customWidth="1"/>
    <col min="19" max="23" width="8.88671875" style="184"/>
    <col min="24" max="25" width="14.109375" style="297" bestFit="1" customWidth="1"/>
    <col min="26" max="29" width="8.88671875" style="184"/>
  </cols>
  <sheetData>
    <row r="1" spans="1:26" x14ac:dyDescent="0.25">
      <c r="A1" s="338" t="s">
        <v>634</v>
      </c>
      <c r="B1" s="184"/>
      <c r="C1" s="185"/>
      <c r="D1" s="186"/>
      <c r="E1" s="187"/>
      <c r="F1" s="188" t="s">
        <v>131</v>
      </c>
      <c r="G1" s="189"/>
      <c r="H1" s="190"/>
      <c r="I1" s="191"/>
      <c r="J1" s="191"/>
      <c r="K1" s="189"/>
      <c r="L1" s="189"/>
      <c r="M1" s="189"/>
      <c r="N1" s="189"/>
      <c r="O1" s="189"/>
      <c r="P1" s="184"/>
      <c r="Q1" s="184"/>
    </row>
    <row r="2" spans="1:26" ht="13.8" thickBot="1" x14ac:dyDescent="0.3">
      <c r="A2" s="184"/>
      <c r="B2" s="184"/>
      <c r="C2" s="185"/>
      <c r="D2" s="185"/>
      <c r="E2" s="185"/>
      <c r="F2" s="188"/>
      <c r="G2" s="196"/>
      <c r="H2" s="186"/>
      <c r="I2" s="185"/>
      <c r="J2" s="185"/>
      <c r="K2" s="185"/>
      <c r="L2" s="196"/>
      <c r="M2" s="196"/>
      <c r="N2" s="196"/>
      <c r="O2" s="196"/>
      <c r="P2" s="184"/>
      <c r="Q2" s="184"/>
    </row>
    <row r="3" spans="1:26" x14ac:dyDescent="0.25">
      <c r="A3" s="184"/>
      <c r="B3" s="197" t="s">
        <v>173</v>
      </c>
      <c r="C3" s="198" t="s">
        <v>174</v>
      </c>
      <c r="D3" s="198" t="s">
        <v>175</v>
      </c>
      <c r="E3" s="198" t="s">
        <v>176</v>
      </c>
      <c r="F3" s="199" t="s">
        <v>177</v>
      </c>
      <c r="G3" s="198" t="s">
        <v>178</v>
      </c>
      <c r="H3" s="200" t="s">
        <v>0</v>
      </c>
      <c r="I3" s="198" t="s">
        <v>179</v>
      </c>
      <c r="J3" s="198" t="s">
        <v>179</v>
      </c>
      <c r="K3" s="198" t="s">
        <v>179</v>
      </c>
      <c r="L3" s="201" t="s">
        <v>180</v>
      </c>
      <c r="M3" s="202" t="s">
        <v>181</v>
      </c>
      <c r="N3" s="202" t="s">
        <v>182</v>
      </c>
      <c r="O3" s="201" t="s">
        <v>183</v>
      </c>
      <c r="P3" s="184"/>
      <c r="Q3" s="184"/>
      <c r="S3" s="184" t="s">
        <v>598</v>
      </c>
      <c r="T3" s="184" t="s">
        <v>599</v>
      </c>
      <c r="U3" s="184" t="s">
        <v>600</v>
      </c>
      <c r="V3" s="184" t="s">
        <v>601</v>
      </c>
      <c r="W3" s="184" t="s">
        <v>602</v>
      </c>
      <c r="X3" s="366" t="s">
        <v>603</v>
      </c>
      <c r="Y3" s="366" t="s">
        <v>604</v>
      </c>
      <c r="Z3" s="184" t="s">
        <v>173</v>
      </c>
    </row>
    <row r="4" spans="1:26" ht="13.8" thickBot="1" x14ac:dyDescent="0.3">
      <c r="A4" s="184"/>
      <c r="B4" s="204"/>
      <c r="C4" s="205"/>
      <c r="D4" s="206" t="s">
        <v>178</v>
      </c>
      <c r="E4" s="206" t="s">
        <v>186</v>
      </c>
      <c r="F4" s="207" t="s">
        <v>187</v>
      </c>
      <c r="G4" s="208"/>
      <c r="H4" s="209" t="s">
        <v>188</v>
      </c>
      <c r="I4" s="206" t="s">
        <v>189</v>
      </c>
      <c r="J4" s="210" t="s">
        <v>190</v>
      </c>
      <c r="K4" s="210" t="s">
        <v>191</v>
      </c>
      <c r="L4" s="206" t="s">
        <v>192</v>
      </c>
      <c r="M4" s="206" t="s">
        <v>193</v>
      </c>
      <c r="N4" s="206" t="s">
        <v>193</v>
      </c>
      <c r="O4" s="206" t="s">
        <v>193</v>
      </c>
      <c r="P4" s="184" t="s">
        <v>196</v>
      </c>
      <c r="Q4" s="184"/>
    </row>
    <row r="5" spans="1:26" x14ac:dyDescent="0.25">
      <c r="A5" s="184"/>
      <c r="B5" s="184"/>
      <c r="C5" s="212"/>
      <c r="D5" s="213"/>
      <c r="E5" s="213"/>
      <c r="F5" s="214"/>
      <c r="G5" s="215"/>
      <c r="H5" s="216"/>
      <c r="I5" s="213"/>
      <c r="J5" s="217"/>
      <c r="K5" s="217"/>
      <c r="L5" s="213"/>
      <c r="M5" s="213"/>
      <c r="N5" s="213"/>
      <c r="O5" s="213"/>
      <c r="P5" s="184"/>
      <c r="Q5" s="184"/>
    </row>
    <row r="6" spans="1:26" x14ac:dyDescent="0.25">
      <c r="A6" s="219" t="s">
        <v>197</v>
      </c>
      <c r="B6" s="220"/>
      <c r="C6" s="212"/>
      <c r="D6" s="213"/>
      <c r="E6" s="213"/>
      <c r="F6" s="221"/>
      <c r="G6" s="222"/>
      <c r="H6" s="223"/>
      <c r="I6" s="222"/>
      <c r="J6" s="222"/>
      <c r="K6" s="222"/>
      <c r="L6" s="221"/>
      <c r="M6" s="221"/>
      <c r="N6" s="221"/>
      <c r="O6" s="221"/>
      <c r="P6" s="194"/>
      <c r="Q6" s="194"/>
    </row>
    <row r="7" spans="1:26" x14ac:dyDescent="0.25">
      <c r="A7" s="184"/>
      <c r="B7" s="184" t="s">
        <v>199</v>
      </c>
      <c r="C7" s="212">
        <v>5000000</v>
      </c>
      <c r="D7" s="213"/>
      <c r="E7" s="213"/>
      <c r="F7" s="225"/>
      <c r="G7" s="222">
        <v>5000000</v>
      </c>
      <c r="H7" s="223">
        <v>160987.80000000002</v>
      </c>
      <c r="I7" s="221"/>
      <c r="J7" s="226"/>
      <c r="K7" s="226"/>
      <c r="L7" s="221">
        <f t="shared" ref="L7:L23" si="0">G7-H7-I7-J7-K7</f>
        <v>4839012.2</v>
      </c>
      <c r="M7" s="221">
        <f>H7-N7-O7</f>
        <v>160987.80000000002</v>
      </c>
      <c r="N7" s="221">
        <v>0</v>
      </c>
      <c r="O7" s="221">
        <v>0</v>
      </c>
      <c r="P7" s="195">
        <f t="shared" ref="P7:P23" si="1">C7+D7+E7-F7-G7</f>
        <v>0</v>
      </c>
      <c r="Q7" s="195" t="s">
        <v>200</v>
      </c>
      <c r="S7" s="184" t="s">
        <v>249</v>
      </c>
      <c r="T7" s="184" t="s">
        <v>249</v>
      </c>
      <c r="U7" s="184">
        <v>20</v>
      </c>
      <c r="V7" s="184" t="s">
        <v>605</v>
      </c>
      <c r="W7" s="184" t="s">
        <v>11</v>
      </c>
      <c r="X7" s="297">
        <f>H7</f>
        <v>160987.80000000002</v>
      </c>
      <c r="Y7" s="297">
        <f>L7</f>
        <v>4839012.2</v>
      </c>
      <c r="Z7" s="184" t="str">
        <f>B7</f>
        <v>UMCP Infrastructure Project</v>
      </c>
    </row>
    <row r="8" spans="1:26" x14ac:dyDescent="0.25">
      <c r="A8" s="184"/>
      <c r="B8" s="224" t="s">
        <v>201</v>
      </c>
      <c r="C8" s="212"/>
      <c r="D8" s="213"/>
      <c r="E8" s="213"/>
      <c r="F8" s="214"/>
      <c r="G8" s="222"/>
      <c r="H8" s="223"/>
      <c r="I8" s="221"/>
      <c r="J8" s="226"/>
      <c r="K8" s="226"/>
      <c r="L8" s="221"/>
      <c r="M8" s="221"/>
      <c r="N8" s="221"/>
      <c r="O8" s="221"/>
      <c r="P8" s="195">
        <f t="shared" si="1"/>
        <v>0</v>
      </c>
      <c r="Q8" s="194"/>
      <c r="W8" s="224"/>
      <c r="Z8" s="184" t="str">
        <f t="shared" ref="Z8:Z23" si="2">B8</f>
        <v>USM Facilities Renewal:</v>
      </c>
    </row>
    <row r="9" spans="1:26" x14ac:dyDescent="0.25">
      <c r="A9" s="184"/>
      <c r="B9" s="184" t="s">
        <v>202</v>
      </c>
      <c r="C9" s="212">
        <f>300000+3000000+1400000+500000+1200000+300000+150000+750000+800000+500000+491988</f>
        <v>9391988</v>
      </c>
      <c r="D9" s="213"/>
      <c r="E9" s="213"/>
      <c r="F9" s="100"/>
      <c r="G9" s="222">
        <v>9391988</v>
      </c>
      <c r="H9" s="223">
        <v>2227556.9700000002</v>
      </c>
      <c r="I9" s="221">
        <v>2253426.81</v>
      </c>
      <c r="J9" s="226"/>
      <c r="K9" s="226"/>
      <c r="L9" s="221">
        <f t="shared" si="0"/>
        <v>4911004.2199999988</v>
      </c>
      <c r="M9" s="221">
        <f>H9-N9-O9+I9</f>
        <v>4480983.78</v>
      </c>
      <c r="N9" s="221">
        <v>0</v>
      </c>
      <c r="O9" s="221">
        <v>0</v>
      </c>
      <c r="P9" s="195">
        <f t="shared" si="1"/>
        <v>0</v>
      </c>
      <c r="Q9" s="194"/>
      <c r="S9" s="184" t="s">
        <v>249</v>
      </c>
      <c r="T9" s="184" t="s">
        <v>606</v>
      </c>
      <c r="U9" s="367" t="s">
        <v>607</v>
      </c>
      <c r="V9" s="184" t="s">
        <v>605</v>
      </c>
      <c r="W9" s="184" t="s">
        <v>11</v>
      </c>
      <c r="X9" s="368">
        <f>H9+I9</f>
        <v>4480983.78</v>
      </c>
      <c r="Y9" s="297">
        <f t="shared" ref="Y9:Y23" si="3">L9</f>
        <v>4911004.2199999988</v>
      </c>
      <c r="Z9" s="184" t="str">
        <f t="shared" si="2"/>
        <v>UMCP Facilities Renewal</v>
      </c>
    </row>
    <row r="10" spans="1:26" x14ac:dyDescent="0.25">
      <c r="A10" s="184"/>
      <c r="B10" s="184" t="s">
        <v>203</v>
      </c>
      <c r="C10" s="212">
        <f>990000+990000+990000+800000+1142729</f>
        <v>4912729</v>
      </c>
      <c r="D10" s="213"/>
      <c r="E10" s="213"/>
      <c r="F10" s="214"/>
      <c r="G10" s="222">
        <v>4912729</v>
      </c>
      <c r="H10" s="223">
        <v>128610.64</v>
      </c>
      <c r="I10" s="221"/>
      <c r="J10" s="226"/>
      <c r="K10" s="226"/>
      <c r="L10" s="221">
        <f t="shared" si="0"/>
        <v>4784118.3600000003</v>
      </c>
      <c r="M10" s="221">
        <f t="shared" ref="M10:M23" si="4">H10-N10-O10</f>
        <v>128610.64</v>
      </c>
      <c r="N10" s="221">
        <v>0</v>
      </c>
      <c r="O10" s="221">
        <v>0</v>
      </c>
      <c r="P10" s="195">
        <f t="shared" si="1"/>
        <v>0</v>
      </c>
      <c r="Q10" s="194"/>
      <c r="S10" s="184" t="s">
        <v>249</v>
      </c>
      <c r="T10" s="184" t="s">
        <v>606</v>
      </c>
      <c r="U10" s="367" t="s">
        <v>607</v>
      </c>
      <c r="V10" s="184" t="s">
        <v>605</v>
      </c>
      <c r="W10" s="184" t="s">
        <v>12</v>
      </c>
      <c r="X10" s="297">
        <f t="shared" ref="X10:X23" si="5">H10</f>
        <v>128610.64</v>
      </c>
      <c r="Y10" s="297">
        <f t="shared" si="3"/>
        <v>4784118.3600000003</v>
      </c>
      <c r="Z10" s="184" t="str">
        <f t="shared" si="2"/>
        <v>UMB Facilities Renewal</v>
      </c>
    </row>
    <row r="11" spans="1:26" x14ac:dyDescent="0.25">
      <c r="A11" s="184"/>
      <c r="B11" s="184" t="s">
        <v>204</v>
      </c>
      <c r="C11" s="212">
        <v>1244579</v>
      </c>
      <c r="D11" s="213"/>
      <c r="E11" s="213"/>
      <c r="F11" s="100"/>
      <c r="G11" s="222">
        <v>1244579</v>
      </c>
      <c r="H11" s="223">
        <v>0</v>
      </c>
      <c r="I11" s="221"/>
      <c r="J11" s="226"/>
      <c r="K11" s="226"/>
      <c r="L11" s="221">
        <f t="shared" si="0"/>
        <v>1244579</v>
      </c>
      <c r="M11" s="221">
        <f t="shared" si="4"/>
        <v>0</v>
      </c>
      <c r="N11" s="221">
        <v>0</v>
      </c>
      <c r="O11" s="221">
        <v>0</v>
      </c>
      <c r="P11" s="195">
        <f t="shared" si="1"/>
        <v>0</v>
      </c>
      <c r="Q11" s="194"/>
      <c r="S11" s="184" t="s">
        <v>249</v>
      </c>
      <c r="T11" s="184" t="s">
        <v>606</v>
      </c>
      <c r="U11" s="367" t="s">
        <v>607</v>
      </c>
      <c r="V11" s="184" t="s">
        <v>605</v>
      </c>
      <c r="W11" s="184" t="s">
        <v>14</v>
      </c>
      <c r="X11" s="297">
        <f t="shared" si="5"/>
        <v>0</v>
      </c>
      <c r="Y11" s="297">
        <f t="shared" si="3"/>
        <v>1244579</v>
      </c>
      <c r="Z11" s="184" t="str">
        <f t="shared" si="2"/>
        <v>UMES Facilities Renewal</v>
      </c>
    </row>
    <row r="12" spans="1:26" x14ac:dyDescent="0.25">
      <c r="A12" s="184"/>
      <c r="B12" s="184" t="s">
        <v>205</v>
      </c>
      <c r="C12" s="212">
        <v>2283810</v>
      </c>
      <c r="D12" s="213"/>
      <c r="E12" s="213"/>
      <c r="F12" s="214"/>
      <c r="G12" s="222">
        <v>2283810</v>
      </c>
      <c r="H12" s="223">
        <v>83589.649999999994</v>
      </c>
      <c r="I12" s="221"/>
      <c r="J12" s="226"/>
      <c r="K12" s="226"/>
      <c r="L12" s="221">
        <f t="shared" si="0"/>
        <v>2200220.35</v>
      </c>
      <c r="M12" s="221">
        <f t="shared" si="4"/>
        <v>83589.649999999994</v>
      </c>
      <c r="N12" s="221">
        <v>0</v>
      </c>
      <c r="O12" s="221">
        <v>0</v>
      </c>
      <c r="P12" s="195">
        <f t="shared" si="1"/>
        <v>0</v>
      </c>
      <c r="Q12" s="194"/>
      <c r="S12" s="184" t="s">
        <v>249</v>
      </c>
      <c r="T12" s="184" t="s">
        <v>606</v>
      </c>
      <c r="U12" s="367" t="s">
        <v>607</v>
      </c>
      <c r="V12" s="184" t="s">
        <v>605</v>
      </c>
      <c r="W12" s="184" t="s">
        <v>15</v>
      </c>
      <c r="X12" s="297">
        <f t="shared" si="5"/>
        <v>83589.649999999994</v>
      </c>
      <c r="Y12" s="297">
        <f t="shared" si="3"/>
        <v>2200220.35</v>
      </c>
      <c r="Z12" s="184" t="str">
        <f t="shared" si="2"/>
        <v>UMBC Facilities Renewal</v>
      </c>
    </row>
    <row r="13" spans="1:26" x14ac:dyDescent="0.25">
      <c r="A13" s="184"/>
      <c r="B13" s="184" t="s">
        <v>206</v>
      </c>
      <c r="C13" s="212">
        <v>284107</v>
      </c>
      <c r="D13" s="213"/>
      <c r="E13" s="213"/>
      <c r="F13" s="214"/>
      <c r="G13" s="222">
        <v>284107</v>
      </c>
      <c r="H13" s="223">
        <v>0</v>
      </c>
      <c r="I13" s="221"/>
      <c r="J13" s="226"/>
      <c r="K13" s="226"/>
      <c r="L13" s="221">
        <f t="shared" si="0"/>
        <v>284107</v>
      </c>
      <c r="M13" s="221">
        <f t="shared" si="4"/>
        <v>0</v>
      </c>
      <c r="N13" s="221">
        <v>0</v>
      </c>
      <c r="O13" s="221">
        <v>0</v>
      </c>
      <c r="P13" s="195">
        <f t="shared" si="1"/>
        <v>0</v>
      </c>
      <c r="Q13" s="194"/>
      <c r="S13" s="184" t="s">
        <v>249</v>
      </c>
      <c r="T13" s="184" t="s">
        <v>606</v>
      </c>
      <c r="U13" s="367" t="s">
        <v>607</v>
      </c>
      <c r="V13" s="184" t="s">
        <v>605</v>
      </c>
      <c r="W13" s="184" t="s">
        <v>16</v>
      </c>
      <c r="X13" s="297">
        <f t="shared" si="5"/>
        <v>0</v>
      </c>
      <c r="Y13" s="297">
        <f t="shared" si="3"/>
        <v>284107</v>
      </c>
      <c r="Z13" s="184" t="str">
        <f t="shared" si="2"/>
        <v>UMCES Facilities Renewal</v>
      </c>
    </row>
    <row r="14" spans="1:26" x14ac:dyDescent="0.25">
      <c r="A14" s="184"/>
      <c r="B14" s="184" t="s">
        <v>207</v>
      </c>
      <c r="C14" s="212">
        <v>936895</v>
      </c>
      <c r="D14" s="213"/>
      <c r="E14" s="213"/>
      <c r="F14" s="214"/>
      <c r="G14" s="222">
        <v>936895</v>
      </c>
      <c r="H14" s="223">
        <v>0</v>
      </c>
      <c r="I14" s="221"/>
      <c r="J14" s="226"/>
      <c r="K14" s="226"/>
      <c r="L14" s="221">
        <f t="shared" si="0"/>
        <v>936895</v>
      </c>
      <c r="M14" s="221">
        <f t="shared" si="4"/>
        <v>0</v>
      </c>
      <c r="N14" s="221">
        <v>0</v>
      </c>
      <c r="O14" s="221">
        <v>0</v>
      </c>
      <c r="P14" s="195">
        <f t="shared" si="1"/>
        <v>0</v>
      </c>
      <c r="Q14" s="194"/>
      <c r="S14" s="184" t="s">
        <v>249</v>
      </c>
      <c r="T14" s="184" t="s">
        <v>606</v>
      </c>
      <c r="U14" s="367" t="s">
        <v>607</v>
      </c>
      <c r="V14" s="184" t="s">
        <v>605</v>
      </c>
      <c r="W14" s="184" t="s">
        <v>17</v>
      </c>
      <c r="X14" s="297">
        <f t="shared" si="5"/>
        <v>0</v>
      </c>
      <c r="Y14" s="297">
        <f t="shared" si="3"/>
        <v>936895</v>
      </c>
      <c r="Z14" s="184" t="str">
        <f t="shared" si="2"/>
        <v>BSU Facilities Renewal</v>
      </c>
    </row>
    <row r="15" spans="1:26" x14ac:dyDescent="0.25">
      <c r="A15" s="184"/>
      <c r="B15" s="184" t="s">
        <v>208</v>
      </c>
      <c r="C15" s="212">
        <v>664609</v>
      </c>
      <c r="D15" s="213"/>
      <c r="E15" s="213"/>
      <c r="F15" s="214"/>
      <c r="G15" s="222">
        <v>664609</v>
      </c>
      <c r="H15" s="223">
        <v>0</v>
      </c>
      <c r="I15" s="221"/>
      <c r="J15" s="226"/>
      <c r="K15" s="226"/>
      <c r="L15" s="221">
        <f t="shared" si="0"/>
        <v>664609</v>
      </c>
      <c r="M15" s="221">
        <f t="shared" si="4"/>
        <v>0</v>
      </c>
      <c r="N15" s="221">
        <v>0</v>
      </c>
      <c r="O15" s="221">
        <v>0</v>
      </c>
      <c r="P15" s="195">
        <f t="shared" si="1"/>
        <v>0</v>
      </c>
      <c r="Q15" s="194"/>
      <c r="S15" s="184" t="s">
        <v>249</v>
      </c>
      <c r="T15" s="184" t="s">
        <v>606</v>
      </c>
      <c r="U15" s="367" t="s">
        <v>607</v>
      </c>
      <c r="V15" s="184" t="s">
        <v>605</v>
      </c>
      <c r="W15" s="184" t="s">
        <v>18</v>
      </c>
      <c r="X15" s="297">
        <f t="shared" si="5"/>
        <v>0</v>
      </c>
      <c r="Y15" s="297">
        <f t="shared" si="3"/>
        <v>664609</v>
      </c>
      <c r="Z15" s="184" t="str">
        <f t="shared" si="2"/>
        <v>CSU Facilities Renewal</v>
      </c>
    </row>
    <row r="16" spans="1:26" x14ac:dyDescent="0.25">
      <c r="A16" s="184"/>
      <c r="B16" s="184" t="s">
        <v>209</v>
      </c>
      <c r="C16" s="212">
        <v>551730</v>
      </c>
      <c r="D16" s="213"/>
      <c r="E16" s="213"/>
      <c r="F16" s="100"/>
      <c r="G16" s="222">
        <v>551730</v>
      </c>
      <c r="H16" s="223">
        <v>83211.75</v>
      </c>
      <c r="I16" s="221"/>
      <c r="J16" s="226"/>
      <c r="K16" s="226"/>
      <c r="L16" s="221">
        <f t="shared" si="0"/>
        <v>468518.25</v>
      </c>
      <c r="M16" s="221">
        <f t="shared" si="4"/>
        <v>83211.75</v>
      </c>
      <c r="N16" s="221">
        <v>0</v>
      </c>
      <c r="O16" s="221">
        <v>0</v>
      </c>
      <c r="P16" s="195">
        <f t="shared" si="1"/>
        <v>0</v>
      </c>
      <c r="Q16" s="194"/>
      <c r="S16" s="184" t="s">
        <v>249</v>
      </c>
      <c r="T16" s="184" t="s">
        <v>606</v>
      </c>
      <c r="U16" s="367" t="s">
        <v>607</v>
      </c>
      <c r="V16" s="184" t="s">
        <v>605</v>
      </c>
      <c r="W16" s="184" t="s">
        <v>19</v>
      </c>
      <c r="X16" s="297">
        <f t="shared" si="5"/>
        <v>83211.75</v>
      </c>
      <c r="Y16" s="297">
        <f t="shared" si="3"/>
        <v>468518.25</v>
      </c>
      <c r="Z16" s="184" t="str">
        <f t="shared" si="2"/>
        <v>FSU Facilities Renewal</v>
      </c>
    </row>
    <row r="17" spans="1:26" x14ac:dyDescent="0.25">
      <c r="A17" s="184"/>
      <c r="B17" s="184" t="s">
        <v>210</v>
      </c>
      <c r="C17" s="212">
        <v>961364</v>
      </c>
      <c r="D17" s="213"/>
      <c r="E17" s="213"/>
      <c r="F17" s="214"/>
      <c r="G17" s="222">
        <v>961364</v>
      </c>
      <c r="H17" s="223">
        <v>0</v>
      </c>
      <c r="I17" s="221"/>
      <c r="J17" s="226"/>
      <c r="K17" s="226"/>
      <c r="L17" s="221">
        <f t="shared" si="0"/>
        <v>961364</v>
      </c>
      <c r="M17" s="221">
        <f t="shared" si="4"/>
        <v>0</v>
      </c>
      <c r="N17" s="221">
        <v>0</v>
      </c>
      <c r="O17" s="221">
        <v>0</v>
      </c>
      <c r="P17" s="195">
        <f t="shared" si="1"/>
        <v>0</v>
      </c>
      <c r="Q17" s="194"/>
      <c r="S17" s="184" t="s">
        <v>249</v>
      </c>
      <c r="T17" s="184" t="s">
        <v>606</v>
      </c>
      <c r="U17" s="367" t="s">
        <v>607</v>
      </c>
      <c r="V17" s="184" t="s">
        <v>605</v>
      </c>
      <c r="W17" s="184" t="s">
        <v>20</v>
      </c>
      <c r="X17" s="297">
        <f t="shared" si="5"/>
        <v>0</v>
      </c>
      <c r="Y17" s="297">
        <f t="shared" si="3"/>
        <v>961364</v>
      </c>
      <c r="Z17" s="184" t="str">
        <f t="shared" si="2"/>
        <v>SU Facilities Renewal</v>
      </c>
    </row>
    <row r="18" spans="1:26" x14ac:dyDescent="0.25">
      <c r="A18" s="184"/>
      <c r="B18" s="184" t="s">
        <v>211</v>
      </c>
      <c r="C18" s="212">
        <f>1250000+425791+400000</f>
        <v>2075791</v>
      </c>
      <c r="D18" s="213"/>
      <c r="E18" s="213"/>
      <c r="F18" s="214"/>
      <c r="G18" s="222">
        <v>2075791</v>
      </c>
      <c r="H18" s="223">
        <v>0</v>
      </c>
      <c r="I18" s="221"/>
      <c r="J18" s="226"/>
      <c r="K18" s="226"/>
      <c r="L18" s="221">
        <f t="shared" si="0"/>
        <v>2075791</v>
      </c>
      <c r="M18" s="221">
        <f t="shared" si="4"/>
        <v>0</v>
      </c>
      <c r="N18" s="221">
        <v>0</v>
      </c>
      <c r="O18" s="221">
        <v>0</v>
      </c>
      <c r="P18" s="195">
        <f t="shared" si="1"/>
        <v>0</v>
      </c>
      <c r="Q18" s="194"/>
      <c r="S18" s="184" t="s">
        <v>249</v>
      </c>
      <c r="T18" s="184" t="s">
        <v>606</v>
      </c>
      <c r="U18" s="367" t="s">
        <v>607</v>
      </c>
      <c r="V18" s="184" t="s">
        <v>605</v>
      </c>
      <c r="W18" s="184" t="s">
        <v>21</v>
      </c>
      <c r="X18" s="297">
        <f t="shared" si="5"/>
        <v>0</v>
      </c>
      <c r="Y18" s="297">
        <f t="shared" si="3"/>
        <v>2075791</v>
      </c>
      <c r="Z18" s="184" t="str">
        <f t="shared" si="2"/>
        <v>TU Facilities Renewal</v>
      </c>
    </row>
    <row r="19" spans="1:26" x14ac:dyDescent="0.25">
      <c r="A19" s="184"/>
      <c r="B19" s="184" t="s">
        <v>212</v>
      </c>
      <c r="C19" s="212">
        <v>654937</v>
      </c>
      <c r="D19" s="213"/>
      <c r="E19" s="213"/>
      <c r="F19" s="214"/>
      <c r="G19" s="222">
        <v>654937</v>
      </c>
      <c r="H19" s="223">
        <v>0</v>
      </c>
      <c r="I19" s="221"/>
      <c r="J19" s="226"/>
      <c r="K19" s="226"/>
      <c r="L19" s="221">
        <f t="shared" si="0"/>
        <v>654937</v>
      </c>
      <c r="M19" s="221">
        <f t="shared" si="4"/>
        <v>0</v>
      </c>
      <c r="N19" s="221">
        <v>0</v>
      </c>
      <c r="O19" s="221">
        <v>0</v>
      </c>
      <c r="P19" s="195">
        <f t="shared" si="1"/>
        <v>0</v>
      </c>
      <c r="Q19" s="194"/>
      <c r="S19" s="184" t="s">
        <v>249</v>
      </c>
      <c r="T19" s="184" t="s">
        <v>606</v>
      </c>
      <c r="U19" s="367" t="s">
        <v>607</v>
      </c>
      <c r="V19" s="184" t="s">
        <v>605</v>
      </c>
      <c r="W19" s="184" t="s">
        <v>22</v>
      </c>
      <c r="X19" s="297">
        <f t="shared" si="5"/>
        <v>0</v>
      </c>
      <c r="Y19" s="297">
        <f t="shared" si="3"/>
        <v>654937</v>
      </c>
      <c r="Z19" s="184" t="str">
        <f t="shared" si="2"/>
        <v>UB Facilities Renewal</v>
      </c>
    </row>
    <row r="20" spans="1:26" x14ac:dyDescent="0.25">
      <c r="A20" s="184"/>
      <c r="B20" s="184" t="s">
        <v>213</v>
      </c>
      <c r="C20" s="212">
        <v>431976</v>
      </c>
      <c r="D20" s="213"/>
      <c r="E20" s="213"/>
      <c r="F20" s="214"/>
      <c r="G20" s="222">
        <v>431976</v>
      </c>
      <c r="H20" s="223">
        <v>0</v>
      </c>
      <c r="I20" s="221"/>
      <c r="J20" s="226"/>
      <c r="K20" s="226"/>
      <c r="L20" s="221">
        <f t="shared" si="0"/>
        <v>431976</v>
      </c>
      <c r="M20" s="221">
        <f t="shared" si="4"/>
        <v>0</v>
      </c>
      <c r="N20" s="221">
        <v>0</v>
      </c>
      <c r="O20" s="221">
        <v>0</v>
      </c>
      <c r="P20" s="195">
        <f t="shared" si="1"/>
        <v>0</v>
      </c>
      <c r="Q20" s="194"/>
      <c r="S20" s="184" t="s">
        <v>249</v>
      </c>
      <c r="T20" s="184" t="s">
        <v>606</v>
      </c>
      <c r="U20" s="367" t="s">
        <v>607</v>
      </c>
      <c r="V20" s="184" t="s">
        <v>605</v>
      </c>
      <c r="W20" s="184" t="s">
        <v>608</v>
      </c>
      <c r="X20" s="297">
        <f t="shared" si="5"/>
        <v>0</v>
      </c>
      <c r="Y20" s="297">
        <f t="shared" si="3"/>
        <v>431976</v>
      </c>
      <c r="Z20" s="184" t="str">
        <f t="shared" si="2"/>
        <v>USG Campus Building Improvement</v>
      </c>
    </row>
    <row r="21" spans="1:26" x14ac:dyDescent="0.25">
      <c r="A21" s="184"/>
      <c r="B21" s="184" t="s">
        <v>214</v>
      </c>
      <c r="C21" s="212">
        <v>45627</v>
      </c>
      <c r="D21" s="213"/>
      <c r="E21" s="213"/>
      <c r="F21" s="214"/>
      <c r="G21" s="222">
        <v>45627</v>
      </c>
      <c r="H21" s="223">
        <v>0</v>
      </c>
      <c r="I21" s="221"/>
      <c r="J21" s="226"/>
      <c r="K21" s="226"/>
      <c r="L21" s="221">
        <f t="shared" si="0"/>
        <v>45627</v>
      </c>
      <c r="M21" s="221">
        <f t="shared" si="4"/>
        <v>0</v>
      </c>
      <c r="N21" s="221">
        <v>0</v>
      </c>
      <c r="O21" s="221">
        <v>0</v>
      </c>
      <c r="P21" s="195">
        <f t="shared" si="1"/>
        <v>0</v>
      </c>
      <c r="Q21" s="194"/>
      <c r="S21" s="184" t="s">
        <v>249</v>
      </c>
      <c r="T21" s="184" t="s">
        <v>606</v>
      </c>
      <c r="U21" s="367" t="s">
        <v>607</v>
      </c>
      <c r="V21" s="184" t="s">
        <v>605</v>
      </c>
      <c r="W21" s="184" t="s">
        <v>609</v>
      </c>
      <c r="X21" s="297">
        <f t="shared" si="5"/>
        <v>0</v>
      </c>
      <c r="Y21" s="297">
        <f t="shared" si="3"/>
        <v>45627</v>
      </c>
      <c r="Z21" s="184" t="str">
        <f t="shared" si="2"/>
        <v>USM-H Building/System Improvement</v>
      </c>
    </row>
    <row r="22" spans="1:26" x14ac:dyDescent="0.25">
      <c r="A22" s="184"/>
      <c r="B22" s="184" t="s">
        <v>215</v>
      </c>
      <c r="C22" s="212">
        <v>59858</v>
      </c>
      <c r="D22" s="213"/>
      <c r="E22" s="213"/>
      <c r="F22" s="214"/>
      <c r="G22" s="222">
        <v>59858</v>
      </c>
      <c r="H22" s="223">
        <v>0</v>
      </c>
      <c r="I22" s="221"/>
      <c r="J22" s="226"/>
      <c r="K22" s="226"/>
      <c r="L22" s="221">
        <f t="shared" si="0"/>
        <v>59858</v>
      </c>
      <c r="M22" s="221">
        <f t="shared" si="4"/>
        <v>0</v>
      </c>
      <c r="N22" s="221">
        <v>0</v>
      </c>
      <c r="O22" s="221">
        <v>0</v>
      </c>
      <c r="P22" s="195">
        <f t="shared" si="1"/>
        <v>0</v>
      </c>
      <c r="Q22" s="194"/>
      <c r="S22" s="184" t="s">
        <v>249</v>
      </c>
      <c r="T22" s="184" t="s">
        <v>606</v>
      </c>
      <c r="U22" s="367" t="s">
        <v>607</v>
      </c>
      <c r="V22" s="184" t="s">
        <v>605</v>
      </c>
      <c r="W22" s="184" t="s">
        <v>610</v>
      </c>
      <c r="X22" s="297">
        <f t="shared" si="5"/>
        <v>0</v>
      </c>
      <c r="Y22" s="297">
        <f t="shared" si="3"/>
        <v>59858</v>
      </c>
      <c r="Z22" s="184" t="str">
        <f t="shared" si="2"/>
        <v>USMSM Building/System Improvement</v>
      </c>
    </row>
    <row r="23" spans="1:26" x14ac:dyDescent="0.25">
      <c r="A23" s="184"/>
      <c r="B23" s="224" t="s">
        <v>216</v>
      </c>
      <c r="C23" s="212">
        <f>500000</f>
        <v>500000</v>
      </c>
      <c r="D23" s="213"/>
      <c r="E23" s="221"/>
      <c r="F23" s="214"/>
      <c r="G23" s="222">
        <v>500000</v>
      </c>
      <c r="H23" s="223">
        <v>0</v>
      </c>
      <c r="I23" s="221"/>
      <c r="J23" s="226"/>
      <c r="K23" s="226"/>
      <c r="L23" s="221">
        <f t="shared" si="0"/>
        <v>500000</v>
      </c>
      <c r="M23" s="221">
        <f t="shared" si="4"/>
        <v>0</v>
      </c>
      <c r="N23" s="221">
        <v>0</v>
      </c>
      <c r="O23" s="221">
        <v>0</v>
      </c>
      <c r="P23" s="195">
        <f t="shared" si="1"/>
        <v>0</v>
      </c>
      <c r="Q23" s="194"/>
      <c r="S23" s="184" t="s">
        <v>249</v>
      </c>
      <c r="T23" s="184" t="s">
        <v>606</v>
      </c>
      <c r="U23" s="367" t="s">
        <v>607</v>
      </c>
      <c r="V23" s="184" t="s">
        <v>605</v>
      </c>
      <c r="W23" s="224" t="s">
        <v>56</v>
      </c>
      <c r="X23" s="297">
        <f t="shared" si="5"/>
        <v>0</v>
      </c>
      <c r="Y23" s="297">
        <f t="shared" si="3"/>
        <v>500000</v>
      </c>
      <c r="Z23" s="184" t="str">
        <f t="shared" si="2"/>
        <v>USM Fac Renewal Emergency Fund-unallocated:</v>
      </c>
    </row>
    <row r="24" spans="1:26" x14ac:dyDescent="0.25">
      <c r="A24" s="184"/>
      <c r="B24" s="184"/>
      <c r="C24" s="212"/>
      <c r="D24" s="213"/>
      <c r="E24" s="213"/>
      <c r="F24" s="214"/>
      <c r="G24" s="215"/>
      <c r="H24" s="216"/>
      <c r="I24" s="213"/>
      <c r="J24" s="217"/>
      <c r="K24" s="217"/>
      <c r="L24" s="213"/>
      <c r="M24" s="213"/>
      <c r="N24" s="213"/>
      <c r="O24" s="213"/>
      <c r="P24" s="195"/>
      <c r="Q24" s="194"/>
    </row>
    <row r="25" spans="1:26" ht="13.8" thickBot="1" x14ac:dyDescent="0.3">
      <c r="A25" s="184"/>
      <c r="B25" s="227" t="s">
        <v>217</v>
      </c>
      <c r="C25" s="228">
        <f t="shared" ref="C25:O25" si="6">SUM(C7:C24)</f>
        <v>30000000</v>
      </c>
      <c r="D25" s="228">
        <f t="shared" si="6"/>
        <v>0</v>
      </c>
      <c r="E25" s="228">
        <f t="shared" si="6"/>
        <v>0</v>
      </c>
      <c r="F25" s="228">
        <f t="shared" si="6"/>
        <v>0</v>
      </c>
      <c r="G25" s="228">
        <f t="shared" si="6"/>
        <v>30000000</v>
      </c>
      <c r="H25" s="228">
        <f t="shared" si="6"/>
        <v>2683956.81</v>
      </c>
      <c r="I25" s="228">
        <f>SUM(I7:I24)</f>
        <v>2253426.81</v>
      </c>
      <c r="J25" s="228">
        <f t="shared" si="6"/>
        <v>0</v>
      </c>
      <c r="K25" s="228">
        <f t="shared" si="6"/>
        <v>0</v>
      </c>
      <c r="L25" s="228">
        <f t="shared" si="6"/>
        <v>25062616.379999999</v>
      </c>
      <c r="M25" s="228">
        <f t="shared" si="6"/>
        <v>4937383.62</v>
      </c>
      <c r="N25" s="228">
        <f t="shared" si="6"/>
        <v>0</v>
      </c>
      <c r="O25" s="228">
        <f t="shared" si="6"/>
        <v>0</v>
      </c>
      <c r="P25" s="228"/>
      <c r="Q25" s="194"/>
    </row>
    <row r="26" spans="1:26" ht="13.8" thickTop="1" x14ac:dyDescent="0.25">
      <c r="A26" s="184"/>
      <c r="B26" s="184"/>
      <c r="C26" s="212"/>
      <c r="D26" s="213"/>
      <c r="E26" s="213"/>
      <c r="F26" s="214"/>
      <c r="G26" s="215"/>
      <c r="H26" s="216"/>
      <c r="I26" s="213"/>
      <c r="J26" s="217"/>
      <c r="K26" s="217"/>
      <c r="L26" s="213"/>
      <c r="M26" s="213"/>
      <c r="N26" s="213"/>
      <c r="O26" s="213"/>
      <c r="P26" s="184"/>
      <c r="Q26" s="184"/>
    </row>
    <row r="27" spans="1:26" x14ac:dyDescent="0.25">
      <c r="A27" s="219" t="s">
        <v>219</v>
      </c>
      <c r="B27" s="220"/>
      <c r="C27" s="212"/>
      <c r="D27" s="213"/>
      <c r="E27" s="213"/>
      <c r="F27" s="221"/>
      <c r="G27" s="222"/>
      <c r="H27" s="223"/>
      <c r="I27" s="222"/>
      <c r="J27" s="222"/>
      <c r="K27" s="222"/>
      <c r="L27" s="221"/>
      <c r="M27" s="221"/>
      <c r="N27" s="221"/>
      <c r="O27" s="221"/>
      <c r="P27" s="194"/>
      <c r="Q27" s="194"/>
    </row>
    <row r="28" spans="1:26" x14ac:dyDescent="0.25">
      <c r="A28" s="184"/>
      <c r="B28" s="184" t="s">
        <v>199</v>
      </c>
      <c r="C28" s="212">
        <v>2500000</v>
      </c>
      <c r="D28" s="213"/>
      <c r="E28" s="213"/>
      <c r="F28" s="225">
        <f>293257.32+54612.37</f>
        <v>347869.69</v>
      </c>
      <c r="G28" s="222">
        <v>2152130.31</v>
      </c>
      <c r="H28" s="223">
        <v>759980.16000000027</v>
      </c>
      <c r="I28" s="221"/>
      <c r="J28" s="226">
        <f>[2]UMCP!J471</f>
        <v>0</v>
      </c>
      <c r="K28" s="226">
        <f>[2]UMCP!K471</f>
        <v>0</v>
      </c>
      <c r="L28" s="221">
        <f t="shared" ref="L28:L45" si="7">G28-H28-I28-J28-K28</f>
        <v>1392150.15</v>
      </c>
      <c r="M28" s="221">
        <f t="shared" ref="M28:M45" si="8">H28-N28-O28</f>
        <v>592207.53000000026</v>
      </c>
      <c r="N28" s="221">
        <v>167772.63</v>
      </c>
      <c r="O28" s="221">
        <v>0</v>
      </c>
      <c r="P28" s="195">
        <f t="shared" ref="P28:P45" si="9">C28+D28+E28-F28-G28</f>
        <v>0</v>
      </c>
      <c r="Q28" s="195" t="s">
        <v>200</v>
      </c>
      <c r="S28" s="184" t="s">
        <v>249</v>
      </c>
      <c r="T28" s="184" t="s">
        <v>249</v>
      </c>
      <c r="U28" s="184">
        <v>20</v>
      </c>
      <c r="V28" s="184" t="s">
        <v>611</v>
      </c>
      <c r="W28" s="184" t="s">
        <v>11</v>
      </c>
      <c r="X28" s="297">
        <f t="shared" ref="X28:X45" si="10">H28</f>
        <v>759980.16000000027</v>
      </c>
      <c r="Y28" s="297">
        <f t="shared" ref="Y28:Y45" si="11">L28</f>
        <v>1392150.15</v>
      </c>
      <c r="Z28" s="184" t="s">
        <v>199</v>
      </c>
    </row>
    <row r="29" spans="1:26" x14ac:dyDescent="0.25">
      <c r="A29" s="184"/>
      <c r="B29" s="184" t="s">
        <v>220</v>
      </c>
      <c r="C29" s="212">
        <v>2192000</v>
      </c>
      <c r="D29" s="213"/>
      <c r="E29" s="213"/>
      <c r="F29" s="214"/>
      <c r="G29" s="222">
        <v>2192000</v>
      </c>
      <c r="H29" s="223">
        <v>0</v>
      </c>
      <c r="I29" s="221"/>
      <c r="J29" s="226">
        <f>[2]UMES!J242</f>
        <v>0</v>
      </c>
      <c r="K29" s="226">
        <f>[2]UMES!K242</f>
        <v>0</v>
      </c>
      <c r="L29" s="221">
        <f t="shared" si="7"/>
        <v>2192000</v>
      </c>
      <c r="M29" s="221">
        <f t="shared" si="8"/>
        <v>0</v>
      </c>
      <c r="N29" s="221">
        <v>0</v>
      </c>
      <c r="O29" s="221">
        <v>0</v>
      </c>
      <c r="P29" s="195">
        <f t="shared" si="9"/>
        <v>0</v>
      </c>
      <c r="Q29" s="195" t="s">
        <v>200</v>
      </c>
      <c r="S29" s="184" t="s">
        <v>249</v>
      </c>
      <c r="T29" s="184" t="s">
        <v>249</v>
      </c>
      <c r="U29" s="184">
        <v>20</v>
      </c>
      <c r="V29" s="184" t="s">
        <v>611</v>
      </c>
      <c r="W29" s="184" t="s">
        <v>14</v>
      </c>
      <c r="X29" s="297">
        <f t="shared" si="10"/>
        <v>0</v>
      </c>
      <c r="Y29" s="297">
        <f t="shared" si="11"/>
        <v>2192000</v>
      </c>
      <c r="Z29" s="184" t="s">
        <v>220</v>
      </c>
    </row>
    <row r="30" spans="1:26" x14ac:dyDescent="0.25">
      <c r="A30" s="184"/>
      <c r="B30" s="224" t="s">
        <v>201</v>
      </c>
      <c r="C30" s="212"/>
      <c r="D30" s="213"/>
      <c r="E30" s="213"/>
      <c r="F30" s="214"/>
      <c r="G30" s="222"/>
      <c r="H30" s="223"/>
      <c r="I30" s="221"/>
      <c r="J30" s="226"/>
      <c r="K30" s="226"/>
      <c r="L30" s="221">
        <f t="shared" si="7"/>
        <v>0</v>
      </c>
      <c r="M30" s="221"/>
      <c r="N30" s="221"/>
      <c r="O30" s="221"/>
      <c r="P30" s="195">
        <f t="shared" si="9"/>
        <v>0</v>
      </c>
      <c r="Q30" s="194"/>
      <c r="W30" s="224"/>
    </row>
    <row r="31" spans="1:26" x14ac:dyDescent="0.25">
      <c r="A31" s="184"/>
      <c r="B31" s="184" t="s">
        <v>202</v>
      </c>
      <c r="C31" s="212">
        <f>300000+2652191+1000000+700000+1300000+290000+150000+510000+975000+900000+700000</f>
        <v>9477191</v>
      </c>
      <c r="D31" s="213"/>
      <c r="E31" s="213"/>
      <c r="F31" s="100">
        <f>2200211.31+1345.5+9664</f>
        <v>2211220.81</v>
      </c>
      <c r="G31" s="222">
        <v>7265970.1899999995</v>
      </c>
      <c r="H31" s="223">
        <v>6622572.5500000026</v>
      </c>
      <c r="I31" s="221"/>
      <c r="J31" s="226">
        <f>[2]UMCP!J65</f>
        <v>0</v>
      </c>
      <c r="K31" s="226">
        <f>[2]UMCP!K65</f>
        <v>0</v>
      </c>
      <c r="L31" s="221">
        <f t="shared" si="7"/>
        <v>643397.63999999687</v>
      </c>
      <c r="M31" s="221">
        <f t="shared" si="8"/>
        <v>1611741.660000002</v>
      </c>
      <c r="N31" s="221">
        <v>5010830.8900000006</v>
      </c>
      <c r="O31" s="221">
        <v>0</v>
      </c>
      <c r="P31" s="195">
        <f t="shared" si="9"/>
        <v>0</v>
      </c>
      <c r="Q31" s="194"/>
      <c r="S31" s="184" t="s">
        <v>249</v>
      </c>
      <c r="T31" s="184" t="s">
        <v>606</v>
      </c>
      <c r="U31" s="367" t="s">
        <v>607</v>
      </c>
      <c r="V31" s="184" t="s">
        <v>611</v>
      </c>
      <c r="W31" s="184" t="s">
        <v>11</v>
      </c>
      <c r="X31" s="297">
        <f t="shared" si="10"/>
        <v>6622572.5500000026</v>
      </c>
      <c r="Y31" s="297">
        <f t="shared" si="11"/>
        <v>643397.63999999687</v>
      </c>
      <c r="Z31" s="184" t="s">
        <v>202</v>
      </c>
    </row>
    <row r="32" spans="1:26" x14ac:dyDescent="0.25">
      <c r="A32" s="184"/>
      <c r="B32" s="184" t="s">
        <v>203</v>
      </c>
      <c r="C32" s="212">
        <f>990000+990000+990000+827264+1199136</f>
        <v>4996400</v>
      </c>
      <c r="D32" s="213"/>
      <c r="E32" s="213"/>
      <c r="F32" s="214"/>
      <c r="G32" s="222">
        <v>4996400</v>
      </c>
      <c r="H32" s="223">
        <v>1069121.96</v>
      </c>
      <c r="I32" s="221"/>
      <c r="J32" s="226">
        <f>[2]UMB!J88</f>
        <v>0</v>
      </c>
      <c r="K32" s="226">
        <f>[2]UMB!K88</f>
        <v>0</v>
      </c>
      <c r="L32" s="221">
        <f t="shared" si="7"/>
        <v>3927278.04</v>
      </c>
      <c r="M32" s="221">
        <f t="shared" si="8"/>
        <v>1069121.96</v>
      </c>
      <c r="N32" s="221">
        <v>0</v>
      </c>
      <c r="O32" s="221">
        <v>0</v>
      </c>
      <c r="P32" s="195">
        <f t="shared" si="9"/>
        <v>0</v>
      </c>
      <c r="Q32" s="194"/>
      <c r="S32" s="184" t="s">
        <v>249</v>
      </c>
      <c r="T32" s="184" t="s">
        <v>606</v>
      </c>
      <c r="U32" s="367" t="s">
        <v>607</v>
      </c>
      <c r="V32" s="184" t="s">
        <v>611</v>
      </c>
      <c r="W32" s="184" t="s">
        <v>12</v>
      </c>
      <c r="X32" s="297">
        <f t="shared" si="10"/>
        <v>1069121.96</v>
      </c>
      <c r="Y32" s="297">
        <f t="shared" si="11"/>
        <v>3927278.04</v>
      </c>
      <c r="Z32" s="184" t="s">
        <v>203</v>
      </c>
    </row>
    <row r="33" spans="1:26" x14ac:dyDescent="0.25">
      <c r="A33" s="184"/>
      <c r="B33" s="184" t="s">
        <v>204</v>
      </c>
      <c r="C33" s="212">
        <v>1301342</v>
      </c>
      <c r="D33" s="213"/>
      <c r="E33" s="213"/>
      <c r="F33" s="100">
        <f>277763+130204</f>
        <v>407967</v>
      </c>
      <c r="G33" s="222">
        <v>893375</v>
      </c>
      <c r="H33" s="223">
        <v>752227</v>
      </c>
      <c r="I33" s="221"/>
      <c r="J33" s="226">
        <f>[2]UMES!J58</f>
        <v>0</v>
      </c>
      <c r="K33" s="226">
        <f>[2]UMES!K58</f>
        <v>0</v>
      </c>
      <c r="L33" s="221">
        <f t="shared" si="7"/>
        <v>141148</v>
      </c>
      <c r="M33" s="221">
        <f t="shared" si="8"/>
        <v>617547</v>
      </c>
      <c r="N33" s="221">
        <v>134680</v>
      </c>
      <c r="O33" s="221">
        <v>0</v>
      </c>
      <c r="P33" s="195">
        <f t="shared" si="9"/>
        <v>0</v>
      </c>
      <c r="Q33" s="194"/>
      <c r="S33" s="184" t="s">
        <v>249</v>
      </c>
      <c r="T33" s="184" t="s">
        <v>606</v>
      </c>
      <c r="U33" s="367" t="s">
        <v>607</v>
      </c>
      <c r="V33" s="184" t="s">
        <v>611</v>
      </c>
      <c r="W33" s="184" t="s">
        <v>14</v>
      </c>
      <c r="X33" s="297">
        <f t="shared" si="10"/>
        <v>752227</v>
      </c>
      <c r="Y33" s="297">
        <f t="shared" si="11"/>
        <v>141148</v>
      </c>
      <c r="Z33" s="184" t="s">
        <v>204</v>
      </c>
    </row>
    <row r="34" spans="1:26" x14ac:dyDescent="0.25">
      <c r="A34" s="184"/>
      <c r="B34" s="184" t="s">
        <v>205</v>
      </c>
      <c r="C34" s="212">
        <v>2341242</v>
      </c>
      <c r="D34" s="213"/>
      <c r="E34" s="213"/>
      <c r="F34" s="214"/>
      <c r="G34" s="222">
        <v>2341242</v>
      </c>
      <c r="H34" s="223">
        <v>908.17</v>
      </c>
      <c r="I34" s="221"/>
      <c r="J34" s="226">
        <f>[2]UMBC!J27</f>
        <v>0</v>
      </c>
      <c r="K34" s="226">
        <f>[2]UMBC!K27</f>
        <v>0</v>
      </c>
      <c r="L34" s="221">
        <f t="shared" si="7"/>
        <v>2340333.83</v>
      </c>
      <c r="M34" s="221">
        <f t="shared" si="8"/>
        <v>908.17</v>
      </c>
      <c r="N34" s="221">
        <v>0</v>
      </c>
      <c r="O34" s="221">
        <v>0</v>
      </c>
      <c r="P34" s="195">
        <f t="shared" si="9"/>
        <v>0</v>
      </c>
      <c r="Q34" s="194"/>
      <c r="S34" s="184" t="s">
        <v>249</v>
      </c>
      <c r="T34" s="184" t="s">
        <v>606</v>
      </c>
      <c r="U34" s="367" t="s">
        <v>607</v>
      </c>
      <c r="V34" s="184" t="s">
        <v>611</v>
      </c>
      <c r="W34" s="184" t="s">
        <v>15</v>
      </c>
      <c r="X34" s="297">
        <f t="shared" si="10"/>
        <v>908.17</v>
      </c>
      <c r="Y34" s="297">
        <f t="shared" si="11"/>
        <v>2340333.83</v>
      </c>
      <c r="Z34" s="184" t="s">
        <v>205</v>
      </c>
    </row>
    <row r="35" spans="1:26" x14ac:dyDescent="0.25">
      <c r="A35" s="184"/>
      <c r="B35" s="184" t="s">
        <v>206</v>
      </c>
      <c r="C35" s="212">
        <v>358037</v>
      </c>
      <c r="D35" s="213"/>
      <c r="E35" s="213"/>
      <c r="F35" s="214"/>
      <c r="G35" s="222">
        <v>358037</v>
      </c>
      <c r="H35" s="223">
        <v>0</v>
      </c>
      <c r="I35" s="221"/>
      <c r="J35" s="226">
        <f>[2]UMCES!J67</f>
        <v>0</v>
      </c>
      <c r="K35" s="226">
        <f>[2]UMCES!K67</f>
        <v>0</v>
      </c>
      <c r="L35" s="221">
        <f t="shared" si="7"/>
        <v>358037</v>
      </c>
      <c r="M35" s="221">
        <f t="shared" si="8"/>
        <v>0</v>
      </c>
      <c r="N35" s="221">
        <v>0</v>
      </c>
      <c r="O35" s="221">
        <v>0</v>
      </c>
      <c r="P35" s="195">
        <f t="shared" si="9"/>
        <v>0</v>
      </c>
      <c r="Q35" s="194"/>
      <c r="S35" s="184" t="s">
        <v>249</v>
      </c>
      <c r="T35" s="184" t="s">
        <v>606</v>
      </c>
      <c r="U35" s="367" t="s">
        <v>607</v>
      </c>
      <c r="V35" s="184" t="s">
        <v>611</v>
      </c>
      <c r="W35" s="184" t="s">
        <v>16</v>
      </c>
      <c r="X35" s="297">
        <f t="shared" si="10"/>
        <v>0</v>
      </c>
      <c r="Y35" s="297">
        <f t="shared" si="11"/>
        <v>358037</v>
      </c>
      <c r="Z35" s="184" t="s">
        <v>206</v>
      </c>
    </row>
    <row r="36" spans="1:26" x14ac:dyDescent="0.25">
      <c r="A36" s="184"/>
      <c r="B36" s="184" t="s">
        <v>207</v>
      </c>
      <c r="C36" s="212">
        <v>857383</v>
      </c>
      <c r="D36" s="213"/>
      <c r="E36" s="213"/>
      <c r="F36" s="214"/>
      <c r="G36" s="222">
        <v>857383</v>
      </c>
      <c r="H36" s="223">
        <v>476136.22</v>
      </c>
      <c r="I36" s="221"/>
      <c r="J36" s="226">
        <f>[2]BSU!J30</f>
        <v>0</v>
      </c>
      <c r="K36" s="226">
        <f>[2]BSU!K30</f>
        <v>0</v>
      </c>
      <c r="L36" s="221">
        <f t="shared" si="7"/>
        <v>381246.78</v>
      </c>
      <c r="M36" s="221">
        <f t="shared" si="8"/>
        <v>476136.22</v>
      </c>
      <c r="N36" s="221">
        <v>0</v>
      </c>
      <c r="O36" s="221">
        <v>0</v>
      </c>
      <c r="P36" s="195">
        <f t="shared" si="9"/>
        <v>0</v>
      </c>
      <c r="Q36" s="194"/>
      <c r="S36" s="184" t="s">
        <v>249</v>
      </c>
      <c r="T36" s="184" t="s">
        <v>606</v>
      </c>
      <c r="U36" s="367" t="s">
        <v>607</v>
      </c>
      <c r="V36" s="184" t="s">
        <v>611</v>
      </c>
      <c r="W36" s="184" t="s">
        <v>17</v>
      </c>
      <c r="X36" s="297">
        <f t="shared" si="10"/>
        <v>476136.22</v>
      </c>
      <c r="Y36" s="297">
        <f t="shared" si="11"/>
        <v>381246.78</v>
      </c>
      <c r="Z36" s="184" t="s">
        <v>207</v>
      </c>
    </row>
    <row r="37" spans="1:26" x14ac:dyDescent="0.25">
      <c r="A37" s="184"/>
      <c r="B37" s="184" t="s">
        <v>208</v>
      </c>
      <c r="C37" s="212">
        <v>564649</v>
      </c>
      <c r="D37" s="213"/>
      <c r="E37" s="213"/>
      <c r="F37" s="214"/>
      <c r="G37" s="222">
        <v>564649</v>
      </c>
      <c r="H37" s="223">
        <v>395125.08</v>
      </c>
      <c r="I37" s="221"/>
      <c r="J37" s="226">
        <f>[2]CSU!J74</f>
        <v>0</v>
      </c>
      <c r="K37" s="226">
        <f>[2]CSU!K74</f>
        <v>0</v>
      </c>
      <c r="L37" s="221">
        <f t="shared" si="7"/>
        <v>169523.91999999998</v>
      </c>
      <c r="M37" s="221">
        <f t="shared" si="8"/>
        <v>233753.88</v>
      </c>
      <c r="N37" s="221">
        <v>161371.20000000001</v>
      </c>
      <c r="O37" s="221">
        <v>0</v>
      </c>
      <c r="P37" s="195">
        <f t="shared" si="9"/>
        <v>0</v>
      </c>
      <c r="Q37" s="194"/>
      <c r="S37" s="184" t="s">
        <v>249</v>
      </c>
      <c r="T37" s="184" t="s">
        <v>606</v>
      </c>
      <c r="U37" s="367" t="s">
        <v>607</v>
      </c>
      <c r="V37" s="184" t="s">
        <v>611</v>
      </c>
      <c r="W37" s="184" t="s">
        <v>18</v>
      </c>
      <c r="X37" s="297">
        <f t="shared" si="10"/>
        <v>395125.08</v>
      </c>
      <c r="Y37" s="297">
        <f t="shared" si="11"/>
        <v>169523.91999999998</v>
      </c>
      <c r="Z37" s="184" t="s">
        <v>208</v>
      </c>
    </row>
    <row r="38" spans="1:26" x14ac:dyDescent="0.25">
      <c r="A38" s="184"/>
      <c r="B38" s="184" t="s">
        <v>209</v>
      </c>
      <c r="C38" s="212">
        <v>515190</v>
      </c>
      <c r="D38" s="213"/>
      <c r="E38" s="213"/>
      <c r="F38" s="100">
        <f>2480</f>
        <v>2480</v>
      </c>
      <c r="G38" s="222">
        <v>512710</v>
      </c>
      <c r="H38" s="223">
        <v>512710</v>
      </c>
      <c r="I38" s="221"/>
      <c r="J38" s="226">
        <f>[2]FSU!J40</f>
        <v>0</v>
      </c>
      <c r="K38" s="226">
        <f>[2]FSU!K40</f>
        <v>0</v>
      </c>
      <c r="L38" s="221">
        <f t="shared" si="7"/>
        <v>0</v>
      </c>
      <c r="M38" s="221">
        <f t="shared" si="8"/>
        <v>183780.01000000007</v>
      </c>
      <c r="N38" s="221">
        <v>328929.98999999993</v>
      </c>
      <c r="O38" s="221">
        <v>0</v>
      </c>
      <c r="P38" s="195">
        <f t="shared" si="9"/>
        <v>0</v>
      </c>
      <c r="Q38" s="194"/>
      <c r="S38" s="184" t="s">
        <v>249</v>
      </c>
      <c r="T38" s="184" t="s">
        <v>606</v>
      </c>
      <c r="U38" s="367" t="s">
        <v>607</v>
      </c>
      <c r="V38" s="184" t="s">
        <v>611</v>
      </c>
      <c r="W38" s="184" t="s">
        <v>19</v>
      </c>
      <c r="X38" s="297">
        <f t="shared" si="10"/>
        <v>512710</v>
      </c>
      <c r="Y38" s="297">
        <f t="shared" si="11"/>
        <v>0</v>
      </c>
      <c r="Z38" s="184" t="s">
        <v>209</v>
      </c>
    </row>
    <row r="39" spans="1:26" x14ac:dyDescent="0.25">
      <c r="A39" s="184"/>
      <c r="B39" s="184" t="s">
        <v>210</v>
      </c>
      <c r="C39" s="212">
        <v>943287</v>
      </c>
      <c r="D39" s="213"/>
      <c r="E39" s="213"/>
      <c r="F39" s="214"/>
      <c r="G39" s="222">
        <v>943287</v>
      </c>
      <c r="H39" s="223">
        <v>0</v>
      </c>
      <c r="I39" s="221"/>
      <c r="J39" s="226">
        <f>[2]SU!J25</f>
        <v>0</v>
      </c>
      <c r="K39" s="226">
        <f>[2]SU!K25</f>
        <v>0</v>
      </c>
      <c r="L39" s="221">
        <f t="shared" si="7"/>
        <v>943287</v>
      </c>
      <c r="M39" s="221">
        <f t="shared" si="8"/>
        <v>0</v>
      </c>
      <c r="N39" s="221">
        <v>0</v>
      </c>
      <c r="O39" s="221">
        <v>0</v>
      </c>
      <c r="P39" s="195">
        <f t="shared" si="9"/>
        <v>0</v>
      </c>
      <c r="Q39" s="194"/>
      <c r="S39" s="184" t="s">
        <v>249</v>
      </c>
      <c r="T39" s="184" t="s">
        <v>606</v>
      </c>
      <c r="U39" s="367" t="s">
        <v>607</v>
      </c>
      <c r="V39" s="184" t="s">
        <v>611</v>
      </c>
      <c r="W39" s="184" t="s">
        <v>20</v>
      </c>
      <c r="X39" s="297">
        <f t="shared" si="10"/>
        <v>0</v>
      </c>
      <c r="Y39" s="297">
        <f t="shared" si="11"/>
        <v>943287</v>
      </c>
      <c r="Z39" s="184" t="s">
        <v>210</v>
      </c>
    </row>
    <row r="40" spans="1:26" x14ac:dyDescent="0.25">
      <c r="A40" s="184"/>
      <c r="B40" s="184" t="s">
        <v>211</v>
      </c>
      <c r="C40" s="212">
        <v>2337131</v>
      </c>
      <c r="D40" s="213"/>
      <c r="E40" s="213"/>
      <c r="F40" s="214"/>
      <c r="G40" s="222">
        <v>2337131</v>
      </c>
      <c r="H40" s="223">
        <v>0</v>
      </c>
      <c r="I40" s="221"/>
      <c r="J40" s="226">
        <f>[2]TU!J47+[2]TU!J52+[2]TU!J57</f>
        <v>0</v>
      </c>
      <c r="K40" s="226">
        <f>[2]TU!K47+[2]TU!K52+[2]TU!K57</f>
        <v>0</v>
      </c>
      <c r="L40" s="221">
        <f t="shared" si="7"/>
        <v>2337131</v>
      </c>
      <c r="M40" s="221">
        <f t="shared" si="8"/>
        <v>0</v>
      </c>
      <c r="N40" s="221">
        <v>0</v>
      </c>
      <c r="O40" s="221">
        <v>0</v>
      </c>
      <c r="P40" s="195">
        <f t="shared" si="9"/>
        <v>0</v>
      </c>
      <c r="Q40" s="194"/>
      <c r="S40" s="184" t="s">
        <v>249</v>
      </c>
      <c r="T40" s="184" t="s">
        <v>606</v>
      </c>
      <c r="U40" s="367" t="s">
        <v>607</v>
      </c>
      <c r="V40" s="184" t="s">
        <v>611</v>
      </c>
      <c r="W40" s="184" t="s">
        <v>21</v>
      </c>
      <c r="X40" s="297">
        <f t="shared" si="10"/>
        <v>0</v>
      </c>
      <c r="Y40" s="297">
        <f t="shared" si="11"/>
        <v>2337131</v>
      </c>
      <c r="Z40" s="184" t="s">
        <v>211</v>
      </c>
    </row>
    <row r="41" spans="1:26" x14ac:dyDescent="0.25">
      <c r="A41" s="184"/>
      <c r="B41" s="184" t="s">
        <v>212</v>
      </c>
      <c r="C41" s="212">
        <v>890113</v>
      </c>
      <c r="D41" s="213"/>
      <c r="E41" s="213"/>
      <c r="F41" s="214"/>
      <c r="G41" s="222">
        <v>890113</v>
      </c>
      <c r="H41" s="223">
        <v>79691.070000000007</v>
      </c>
      <c r="I41" s="221"/>
      <c r="J41" s="226">
        <f>[2]UB!J42</f>
        <v>0</v>
      </c>
      <c r="K41" s="226">
        <f>[2]UB!K42</f>
        <v>0</v>
      </c>
      <c r="L41" s="221">
        <f t="shared" si="7"/>
        <v>810421.92999999993</v>
      </c>
      <c r="M41" s="221">
        <f t="shared" si="8"/>
        <v>30212.500000000007</v>
      </c>
      <c r="N41" s="221">
        <v>49478.57</v>
      </c>
      <c r="O41" s="221">
        <v>0</v>
      </c>
      <c r="P41" s="195">
        <f t="shared" si="9"/>
        <v>0</v>
      </c>
      <c r="Q41" s="194"/>
      <c r="S41" s="184" t="s">
        <v>249</v>
      </c>
      <c r="T41" s="184" t="s">
        <v>606</v>
      </c>
      <c r="U41" s="367" t="s">
        <v>607</v>
      </c>
      <c r="V41" s="184" t="s">
        <v>611</v>
      </c>
      <c r="W41" s="184" t="s">
        <v>22</v>
      </c>
      <c r="X41" s="297">
        <f t="shared" si="10"/>
        <v>79691.070000000007</v>
      </c>
      <c r="Y41" s="297">
        <f t="shared" si="11"/>
        <v>810421.92999999993</v>
      </c>
      <c r="Z41" s="184" t="s">
        <v>212</v>
      </c>
    </row>
    <row r="42" spans="1:26" x14ac:dyDescent="0.25">
      <c r="A42" s="184"/>
      <c r="B42" s="224" t="s">
        <v>216</v>
      </c>
      <c r="C42" s="212">
        <v>726035</v>
      </c>
      <c r="D42" s="213"/>
      <c r="E42" s="221">
        <f>-418037</f>
        <v>-418037</v>
      </c>
      <c r="F42" s="214"/>
      <c r="G42" s="222">
        <v>307998</v>
      </c>
      <c r="H42" s="223">
        <v>0</v>
      </c>
      <c r="I42" s="221"/>
      <c r="J42" s="226"/>
      <c r="K42" s="226"/>
      <c r="L42" s="221">
        <f t="shared" si="7"/>
        <v>307998</v>
      </c>
      <c r="M42" s="221">
        <f t="shared" si="8"/>
        <v>0</v>
      </c>
      <c r="N42" s="221">
        <v>0</v>
      </c>
      <c r="O42" s="221">
        <v>0</v>
      </c>
      <c r="P42" s="195">
        <f t="shared" si="9"/>
        <v>0</v>
      </c>
      <c r="Q42" s="194"/>
      <c r="S42" s="184" t="s">
        <v>249</v>
      </c>
      <c r="T42" s="184" t="s">
        <v>606</v>
      </c>
      <c r="U42" s="367" t="s">
        <v>607</v>
      </c>
      <c r="V42" s="184" t="s">
        <v>611</v>
      </c>
      <c r="W42" s="224" t="s">
        <v>56</v>
      </c>
      <c r="X42" s="297">
        <f t="shared" si="10"/>
        <v>0</v>
      </c>
      <c r="Y42" s="297">
        <f t="shared" si="11"/>
        <v>307998</v>
      </c>
      <c r="Z42" s="184" t="s">
        <v>216</v>
      </c>
    </row>
    <row r="43" spans="1:26" x14ac:dyDescent="0.25">
      <c r="A43" s="184"/>
      <c r="B43" s="184" t="s">
        <v>221</v>
      </c>
      <c r="C43" s="212"/>
      <c r="D43" s="213"/>
      <c r="E43" s="229">
        <v>335990</v>
      </c>
      <c r="F43" s="214"/>
      <c r="G43" s="222">
        <v>335990</v>
      </c>
      <c r="H43" s="223">
        <v>0</v>
      </c>
      <c r="I43" s="221"/>
      <c r="J43" s="226"/>
      <c r="K43" s="226"/>
      <c r="L43" s="221">
        <f t="shared" si="7"/>
        <v>335990</v>
      </c>
      <c r="M43" s="221">
        <f t="shared" si="8"/>
        <v>0</v>
      </c>
      <c r="N43" s="221">
        <v>0</v>
      </c>
      <c r="O43" s="221">
        <v>0</v>
      </c>
      <c r="P43" s="195">
        <f t="shared" si="9"/>
        <v>0</v>
      </c>
      <c r="Q43" s="194"/>
      <c r="S43" s="184" t="s">
        <v>249</v>
      </c>
      <c r="T43" s="184" t="s">
        <v>606</v>
      </c>
      <c r="U43" s="367" t="s">
        <v>607</v>
      </c>
      <c r="V43" s="184" t="s">
        <v>611</v>
      </c>
      <c r="W43" s="184" t="s">
        <v>608</v>
      </c>
      <c r="X43" s="297">
        <f t="shared" si="10"/>
        <v>0</v>
      </c>
      <c r="Y43" s="297">
        <f t="shared" si="11"/>
        <v>335990</v>
      </c>
      <c r="Z43" s="184" t="s">
        <v>221</v>
      </c>
    </row>
    <row r="44" spans="1:26" x14ac:dyDescent="0.25">
      <c r="A44" s="184"/>
      <c r="B44" s="184" t="s">
        <v>222</v>
      </c>
      <c r="C44" s="212"/>
      <c r="D44" s="213"/>
      <c r="E44" s="229">
        <v>35489</v>
      </c>
      <c r="F44" s="214"/>
      <c r="G44" s="222">
        <v>35489</v>
      </c>
      <c r="H44" s="223">
        <v>0</v>
      </c>
      <c r="I44" s="221"/>
      <c r="J44" s="226"/>
      <c r="K44" s="226"/>
      <c r="L44" s="221">
        <f t="shared" si="7"/>
        <v>35489</v>
      </c>
      <c r="M44" s="221">
        <f t="shared" si="8"/>
        <v>0</v>
      </c>
      <c r="N44" s="221">
        <v>0</v>
      </c>
      <c r="O44" s="221">
        <v>0</v>
      </c>
      <c r="P44" s="195">
        <f t="shared" si="9"/>
        <v>0</v>
      </c>
      <c r="Q44" s="194"/>
      <c r="S44" s="184" t="s">
        <v>249</v>
      </c>
      <c r="T44" s="184" t="s">
        <v>606</v>
      </c>
      <c r="U44" s="367" t="s">
        <v>607</v>
      </c>
      <c r="V44" s="184" t="s">
        <v>611</v>
      </c>
      <c r="W44" s="184" t="s">
        <v>609</v>
      </c>
      <c r="X44" s="297">
        <f t="shared" si="10"/>
        <v>0</v>
      </c>
      <c r="Y44" s="297">
        <f t="shared" si="11"/>
        <v>35489</v>
      </c>
      <c r="Z44" s="184" t="s">
        <v>222</v>
      </c>
    </row>
    <row r="45" spans="1:26" x14ac:dyDescent="0.25">
      <c r="A45" s="184"/>
      <c r="B45" s="184" t="s">
        <v>223</v>
      </c>
      <c r="C45" s="212"/>
      <c r="D45" s="213"/>
      <c r="E45" s="229">
        <v>46558</v>
      </c>
      <c r="F45" s="214"/>
      <c r="G45" s="222">
        <v>46558</v>
      </c>
      <c r="H45" s="223">
        <v>0</v>
      </c>
      <c r="I45" s="221"/>
      <c r="J45" s="226"/>
      <c r="K45" s="226"/>
      <c r="L45" s="221">
        <f t="shared" si="7"/>
        <v>46558</v>
      </c>
      <c r="M45" s="221">
        <f t="shared" si="8"/>
        <v>0</v>
      </c>
      <c r="N45" s="221">
        <v>0</v>
      </c>
      <c r="O45" s="221">
        <v>0</v>
      </c>
      <c r="P45" s="195">
        <f t="shared" si="9"/>
        <v>0</v>
      </c>
      <c r="Q45" s="194"/>
      <c r="S45" s="184" t="s">
        <v>249</v>
      </c>
      <c r="T45" s="184" t="s">
        <v>606</v>
      </c>
      <c r="U45" s="367" t="s">
        <v>607</v>
      </c>
      <c r="V45" s="184" t="s">
        <v>611</v>
      </c>
      <c r="W45" s="184" t="s">
        <v>612</v>
      </c>
      <c r="X45" s="297">
        <f t="shared" si="10"/>
        <v>0</v>
      </c>
      <c r="Y45" s="297">
        <f t="shared" si="11"/>
        <v>46558</v>
      </c>
      <c r="Z45" s="184" t="s">
        <v>223</v>
      </c>
    </row>
    <row r="46" spans="1:26" x14ac:dyDescent="0.25">
      <c r="A46" s="184"/>
      <c r="B46" s="184"/>
      <c r="C46" s="212"/>
      <c r="D46" s="213"/>
      <c r="E46" s="213"/>
      <c r="F46" s="214"/>
      <c r="G46" s="215"/>
      <c r="H46" s="216"/>
      <c r="I46" s="213"/>
      <c r="J46" s="217"/>
      <c r="K46" s="217"/>
      <c r="L46" s="213"/>
      <c r="M46" s="213"/>
      <c r="N46" s="213"/>
      <c r="O46" s="213"/>
      <c r="P46" s="195"/>
      <c r="Q46" s="194"/>
    </row>
    <row r="47" spans="1:26" ht="13.8" thickBot="1" x14ac:dyDescent="0.3">
      <c r="A47" s="184"/>
      <c r="B47" s="227" t="s">
        <v>224</v>
      </c>
      <c r="C47" s="228">
        <f t="shared" ref="C47:O47" si="12">SUM(C28:C46)</f>
        <v>30000000</v>
      </c>
      <c r="D47" s="228">
        <f t="shared" si="12"/>
        <v>0</v>
      </c>
      <c r="E47" s="228">
        <f t="shared" si="12"/>
        <v>0</v>
      </c>
      <c r="F47" s="228">
        <f t="shared" si="12"/>
        <v>2969537.5</v>
      </c>
      <c r="G47" s="228">
        <f t="shared" si="12"/>
        <v>27030462.5</v>
      </c>
      <c r="H47" s="228">
        <f t="shared" si="12"/>
        <v>10668472.210000003</v>
      </c>
      <c r="I47" s="228">
        <f t="shared" si="12"/>
        <v>0</v>
      </c>
      <c r="J47" s="228">
        <f t="shared" si="12"/>
        <v>0</v>
      </c>
      <c r="K47" s="228">
        <f t="shared" si="12"/>
        <v>0</v>
      </c>
      <c r="L47" s="228">
        <f t="shared" si="12"/>
        <v>16361990.289999995</v>
      </c>
      <c r="M47" s="228">
        <f t="shared" si="12"/>
        <v>4815408.9300000016</v>
      </c>
      <c r="N47" s="228">
        <f t="shared" si="12"/>
        <v>5853063.2800000012</v>
      </c>
      <c r="O47" s="228">
        <f t="shared" si="12"/>
        <v>0</v>
      </c>
      <c r="P47" s="228"/>
      <c r="Q47" s="194"/>
    </row>
    <row r="48" spans="1:26" ht="13.8" thickTop="1" x14ac:dyDescent="0.25">
      <c r="A48" s="184"/>
      <c r="B48" s="224"/>
      <c r="C48" s="212"/>
      <c r="D48" s="212"/>
      <c r="E48" s="212"/>
      <c r="F48" s="212"/>
      <c r="G48" s="212"/>
      <c r="H48" s="212"/>
      <c r="I48" s="212"/>
      <c r="J48" s="212"/>
      <c r="K48" s="212"/>
      <c r="L48" s="212"/>
      <c r="M48" s="212"/>
      <c r="N48" s="212"/>
      <c r="O48" s="212"/>
      <c r="P48" s="212"/>
      <c r="Q48" s="194"/>
    </row>
    <row r="49" spans="1:26" x14ac:dyDescent="0.25">
      <c r="A49" s="224" t="s">
        <v>225</v>
      </c>
      <c r="B49" s="184"/>
      <c r="C49" s="212"/>
      <c r="D49" s="213"/>
      <c r="E49" s="213"/>
      <c r="F49" s="221"/>
      <c r="G49" s="222"/>
      <c r="H49" s="223"/>
      <c r="I49" s="222"/>
      <c r="J49" s="222"/>
      <c r="K49" s="222"/>
      <c r="L49" s="221"/>
      <c r="M49" s="221"/>
      <c r="N49" s="221"/>
      <c r="O49" s="221"/>
      <c r="P49" s="184"/>
      <c r="Q49" s="184"/>
    </row>
    <row r="50" spans="1:26" x14ac:dyDescent="0.25">
      <c r="A50" s="224"/>
      <c r="B50" s="184" t="s">
        <v>199</v>
      </c>
      <c r="C50" s="212">
        <v>5000000</v>
      </c>
      <c r="D50" s="213"/>
      <c r="E50" s="213"/>
      <c r="F50" s="221">
        <f>622650.15+104.49</f>
        <v>622754.64</v>
      </c>
      <c r="G50" s="222">
        <v>4377245.3600000003</v>
      </c>
      <c r="H50" s="223">
        <v>2499179.1199999996</v>
      </c>
      <c r="I50" s="222"/>
      <c r="J50" s="222">
        <f>[5]UMCP!J275</f>
        <v>0</v>
      </c>
      <c r="K50" s="222">
        <f>[5]UMCP!K275</f>
        <v>0</v>
      </c>
      <c r="L50" s="221">
        <f t="shared" ref="L50:L64" si="13">G50-H50-I50-J50-K50</f>
        <v>1878066.2400000007</v>
      </c>
      <c r="M50" s="221">
        <f>H50-N50-O50</f>
        <v>1462503.1799999997</v>
      </c>
      <c r="N50" s="221">
        <v>1036675.9400000001</v>
      </c>
      <c r="O50" s="221">
        <v>0</v>
      </c>
      <c r="P50" s="195">
        <f t="shared" ref="P50:P65" si="14">C50+D50+E50-F50-G50</f>
        <v>0</v>
      </c>
      <c r="Q50" s="195" t="s">
        <v>200</v>
      </c>
      <c r="S50" s="184" t="s">
        <v>249</v>
      </c>
      <c r="T50" s="184" t="s">
        <v>249</v>
      </c>
      <c r="U50" s="184">
        <v>20</v>
      </c>
      <c r="V50" s="184" t="s">
        <v>100</v>
      </c>
      <c r="W50" s="184" t="s">
        <v>11</v>
      </c>
      <c r="X50" s="297">
        <f t="shared" ref="X50:X65" si="15">H50</f>
        <v>2499179.1199999996</v>
      </c>
      <c r="Y50" s="297">
        <f t="shared" ref="Y50:Y65" si="16">L50</f>
        <v>1878066.2400000007</v>
      </c>
      <c r="Z50" s="184" t="s">
        <v>199</v>
      </c>
    </row>
    <row r="51" spans="1:26" x14ac:dyDescent="0.25">
      <c r="A51" s="224"/>
      <c r="B51" s="224" t="s">
        <v>201</v>
      </c>
      <c r="C51" s="212"/>
      <c r="D51" s="213"/>
      <c r="E51" s="213"/>
      <c r="F51" s="221"/>
      <c r="G51" s="222"/>
      <c r="H51" s="223"/>
      <c r="I51" s="222"/>
      <c r="J51" s="222"/>
      <c r="K51" s="222"/>
      <c r="L51" s="221"/>
      <c r="M51" s="221"/>
      <c r="N51" s="221"/>
      <c r="O51" s="221"/>
      <c r="P51" s="195">
        <f t="shared" si="14"/>
        <v>0</v>
      </c>
      <c r="Q51" s="184"/>
      <c r="W51" s="224"/>
      <c r="Z51" s="224"/>
    </row>
    <row r="52" spans="1:26" x14ac:dyDescent="0.25">
      <c r="A52" s="224"/>
      <c r="B52" s="184" t="s">
        <v>202</v>
      </c>
      <c r="C52" s="212">
        <v>7300000</v>
      </c>
      <c r="D52" s="213"/>
      <c r="E52" s="213"/>
      <c r="F52" s="221"/>
      <c r="G52" s="222">
        <v>7300000</v>
      </c>
      <c r="H52" s="223">
        <v>7300000</v>
      </c>
      <c r="I52" s="222"/>
      <c r="J52" s="222">
        <f>[5]UMCP!J126</f>
        <v>0</v>
      </c>
      <c r="K52" s="222">
        <f>[5]UMCP!K126</f>
        <v>0</v>
      </c>
      <c r="L52" s="221">
        <f t="shared" si="13"/>
        <v>0</v>
      </c>
      <c r="M52" s="221">
        <f t="shared" ref="M52:M63" si="17">H52-N52-O52</f>
        <v>0</v>
      </c>
      <c r="N52" s="221">
        <v>3644690.17</v>
      </c>
      <c r="O52" s="221">
        <v>3655309.83</v>
      </c>
      <c r="P52" s="195">
        <f t="shared" si="14"/>
        <v>0</v>
      </c>
      <c r="Q52" s="184"/>
      <c r="S52" s="184" t="s">
        <v>249</v>
      </c>
      <c r="T52" s="184" t="s">
        <v>606</v>
      </c>
      <c r="U52" s="367" t="s">
        <v>607</v>
      </c>
      <c r="V52" s="184" t="s">
        <v>100</v>
      </c>
      <c r="W52" s="184" t="s">
        <v>11</v>
      </c>
      <c r="X52" s="297">
        <f t="shared" si="15"/>
        <v>7300000</v>
      </c>
      <c r="Y52" s="297">
        <f t="shared" si="16"/>
        <v>0</v>
      </c>
      <c r="Z52" s="184" t="s">
        <v>202</v>
      </c>
    </row>
    <row r="53" spans="1:26" x14ac:dyDescent="0.25">
      <c r="A53" s="224"/>
      <c r="B53" s="184" t="s">
        <v>203</v>
      </c>
      <c r="C53" s="212">
        <v>3797264</v>
      </c>
      <c r="D53" s="213"/>
      <c r="E53" s="213"/>
      <c r="F53" s="100">
        <v>7630.07</v>
      </c>
      <c r="G53" s="222">
        <v>3789633.93</v>
      </c>
      <c r="H53" s="223">
        <v>1714503.39</v>
      </c>
      <c r="I53" s="222"/>
      <c r="J53" s="222">
        <f>[5]UMB!J63</f>
        <v>0</v>
      </c>
      <c r="K53" s="222">
        <f>[5]UMB!K63</f>
        <v>0</v>
      </c>
      <c r="L53" s="221">
        <f t="shared" si="13"/>
        <v>2075130.5400000003</v>
      </c>
      <c r="M53" s="221">
        <f t="shared" si="17"/>
        <v>741259.06</v>
      </c>
      <c r="N53" s="221">
        <v>938643.05999999982</v>
      </c>
      <c r="O53" s="221">
        <v>34601.269999999997</v>
      </c>
      <c r="P53" s="195">
        <f t="shared" si="14"/>
        <v>0</v>
      </c>
      <c r="Q53" s="184"/>
      <c r="S53" s="184" t="s">
        <v>249</v>
      </c>
      <c r="T53" s="184" t="s">
        <v>606</v>
      </c>
      <c r="U53" s="367" t="s">
        <v>607</v>
      </c>
      <c r="V53" s="184" t="s">
        <v>100</v>
      </c>
      <c r="W53" s="184" t="s">
        <v>12</v>
      </c>
      <c r="X53" s="297">
        <f t="shared" si="15"/>
        <v>1714503.39</v>
      </c>
      <c r="Y53" s="297">
        <f t="shared" si="16"/>
        <v>2075130.5400000003</v>
      </c>
      <c r="Z53" s="184" t="s">
        <v>203</v>
      </c>
    </row>
    <row r="54" spans="1:26" x14ac:dyDescent="0.25">
      <c r="A54" s="224"/>
      <c r="B54" s="184" t="s">
        <v>204</v>
      </c>
      <c r="C54" s="212">
        <v>989020</v>
      </c>
      <c r="D54" s="213"/>
      <c r="E54" s="213"/>
      <c r="F54" s="230">
        <v>856.96</v>
      </c>
      <c r="G54" s="222">
        <v>988163.04</v>
      </c>
      <c r="H54" s="223">
        <v>21886.49</v>
      </c>
      <c r="I54" s="222"/>
      <c r="J54" s="222">
        <f>[5]UMES!J78</f>
        <v>0</v>
      </c>
      <c r="K54" s="222">
        <f>[5]UMES!K78</f>
        <v>0</v>
      </c>
      <c r="L54" s="221">
        <f t="shared" si="13"/>
        <v>966276.55</v>
      </c>
      <c r="M54" s="221">
        <f t="shared" si="17"/>
        <v>0</v>
      </c>
      <c r="N54" s="221">
        <v>21886.49</v>
      </c>
      <c r="O54" s="221">
        <v>0</v>
      </c>
      <c r="P54" s="195">
        <f t="shared" si="14"/>
        <v>0</v>
      </c>
      <c r="Q54" s="184"/>
      <c r="S54" s="184" t="s">
        <v>249</v>
      </c>
      <c r="T54" s="184" t="s">
        <v>606</v>
      </c>
      <c r="U54" s="367" t="s">
        <v>607</v>
      </c>
      <c r="V54" s="184" t="s">
        <v>100</v>
      </c>
      <c r="W54" s="184" t="s">
        <v>14</v>
      </c>
      <c r="X54" s="297">
        <f t="shared" si="15"/>
        <v>21886.49</v>
      </c>
      <c r="Y54" s="297">
        <f t="shared" si="16"/>
        <v>966276.55</v>
      </c>
      <c r="Z54" s="184" t="s">
        <v>204</v>
      </c>
    </row>
    <row r="55" spans="1:26" x14ac:dyDescent="0.25">
      <c r="A55" s="224"/>
      <c r="B55" s="184" t="s">
        <v>205</v>
      </c>
      <c r="C55" s="212">
        <v>1779344</v>
      </c>
      <c r="D55" s="213"/>
      <c r="E55" s="213"/>
      <c r="F55" s="230">
        <f>15518.52+5022.6</f>
        <v>20541.120000000003</v>
      </c>
      <c r="G55" s="222">
        <v>1758802.88</v>
      </c>
      <c r="H55" s="223">
        <v>698521.78999999992</v>
      </c>
      <c r="I55" s="222"/>
      <c r="J55" s="222">
        <f>[5]UMBC!J56</f>
        <v>0</v>
      </c>
      <c r="K55" s="222">
        <f>[5]UMBC!K56</f>
        <v>0</v>
      </c>
      <c r="L55" s="221">
        <f t="shared" si="13"/>
        <v>1060281.0899999999</v>
      </c>
      <c r="M55" s="221">
        <f t="shared" si="17"/>
        <v>431731.78999999992</v>
      </c>
      <c r="N55" s="221">
        <v>266790</v>
      </c>
      <c r="O55" s="221">
        <v>0</v>
      </c>
      <c r="P55" s="195">
        <f t="shared" si="14"/>
        <v>0</v>
      </c>
      <c r="Q55" s="184"/>
      <c r="S55" s="184" t="s">
        <v>249</v>
      </c>
      <c r="T55" s="184" t="s">
        <v>606</v>
      </c>
      <c r="U55" s="367" t="s">
        <v>607</v>
      </c>
      <c r="V55" s="184" t="s">
        <v>100</v>
      </c>
      <c r="W55" s="184" t="s">
        <v>15</v>
      </c>
      <c r="X55" s="297">
        <f t="shared" si="15"/>
        <v>698521.78999999992</v>
      </c>
      <c r="Y55" s="297">
        <f t="shared" si="16"/>
        <v>1060281.0899999999</v>
      </c>
      <c r="Z55" s="184" t="s">
        <v>205</v>
      </c>
    </row>
    <row r="56" spans="1:26" x14ac:dyDescent="0.25">
      <c r="A56" s="224"/>
      <c r="B56" s="184" t="s">
        <v>206</v>
      </c>
      <c r="C56" s="212">
        <v>317000</v>
      </c>
      <c r="D56" s="213"/>
      <c r="E56" s="213"/>
      <c r="F56" s="230"/>
      <c r="G56" s="222">
        <v>317000</v>
      </c>
      <c r="H56" s="223">
        <v>216168.12</v>
      </c>
      <c r="I56" s="222"/>
      <c r="J56" s="222">
        <f>[5]UMCES!J20</f>
        <v>0</v>
      </c>
      <c r="K56" s="222">
        <f>[5]UMCES!K20</f>
        <v>0</v>
      </c>
      <c r="L56" s="221">
        <f t="shared" si="13"/>
        <v>100831.88</v>
      </c>
      <c r="M56" s="221">
        <f t="shared" si="17"/>
        <v>0</v>
      </c>
      <c r="N56" s="221">
        <v>216168.12</v>
      </c>
      <c r="O56" s="221">
        <v>0</v>
      </c>
      <c r="P56" s="195">
        <f t="shared" si="14"/>
        <v>0</v>
      </c>
      <c r="Q56" s="184"/>
      <c r="S56" s="184" t="s">
        <v>249</v>
      </c>
      <c r="T56" s="184" t="s">
        <v>606</v>
      </c>
      <c r="U56" s="367" t="s">
        <v>607</v>
      </c>
      <c r="V56" s="184" t="s">
        <v>100</v>
      </c>
      <c r="W56" s="184" t="s">
        <v>16</v>
      </c>
      <c r="X56" s="297">
        <f t="shared" si="15"/>
        <v>216168.12</v>
      </c>
      <c r="Y56" s="297">
        <f t="shared" si="16"/>
        <v>100831.88</v>
      </c>
      <c r="Z56" s="184" t="s">
        <v>206</v>
      </c>
    </row>
    <row r="57" spans="1:26" x14ac:dyDescent="0.25">
      <c r="A57" s="184"/>
      <c r="B57" s="184" t="s">
        <v>207</v>
      </c>
      <c r="C57" s="212">
        <v>1508994</v>
      </c>
      <c r="D57" s="213"/>
      <c r="E57" s="213"/>
      <c r="F57" s="230"/>
      <c r="G57" s="231">
        <v>1508994</v>
      </c>
      <c r="H57" s="232">
        <v>1508994</v>
      </c>
      <c r="I57" s="229"/>
      <c r="J57" s="230">
        <f>[5]BSU!J40</f>
        <v>0</v>
      </c>
      <c r="K57" s="230">
        <f>[5]BSU!K40</f>
        <v>0</v>
      </c>
      <c r="L57" s="221">
        <f t="shared" si="13"/>
        <v>0</v>
      </c>
      <c r="M57" s="221">
        <f t="shared" si="17"/>
        <v>8514.6599999999162</v>
      </c>
      <c r="N57" s="221">
        <v>62500</v>
      </c>
      <c r="O57" s="221">
        <v>1437979.34</v>
      </c>
      <c r="P57" s="195">
        <f t="shared" si="14"/>
        <v>0</v>
      </c>
      <c r="Q57" s="184"/>
      <c r="S57" s="184" t="s">
        <v>249</v>
      </c>
      <c r="T57" s="184" t="s">
        <v>606</v>
      </c>
      <c r="U57" s="367" t="s">
        <v>607</v>
      </c>
      <c r="V57" s="184" t="s">
        <v>100</v>
      </c>
      <c r="W57" s="184" t="s">
        <v>17</v>
      </c>
      <c r="X57" s="297">
        <f t="shared" si="15"/>
        <v>1508994</v>
      </c>
      <c r="Y57" s="297">
        <f t="shared" si="16"/>
        <v>0</v>
      </c>
      <c r="Z57" s="184" t="s">
        <v>207</v>
      </c>
    </row>
    <row r="58" spans="1:26" x14ac:dyDescent="0.25">
      <c r="A58" s="184"/>
      <c r="B58" s="184" t="s">
        <v>208</v>
      </c>
      <c r="C58" s="212">
        <v>429133</v>
      </c>
      <c r="D58" s="213"/>
      <c r="E58" s="213"/>
      <c r="F58" s="230"/>
      <c r="G58" s="231">
        <v>429133</v>
      </c>
      <c r="H58" s="232">
        <v>429133</v>
      </c>
      <c r="I58" s="229"/>
      <c r="J58" s="230">
        <f>[5]CSU!J35</f>
        <v>0</v>
      </c>
      <c r="K58" s="230">
        <f>[5]CSU!K35</f>
        <v>0</v>
      </c>
      <c r="L58" s="221">
        <f t="shared" si="13"/>
        <v>0</v>
      </c>
      <c r="M58" s="221">
        <f t="shared" si="17"/>
        <v>23206.119999999995</v>
      </c>
      <c r="N58" s="221">
        <v>405926.88</v>
      </c>
      <c r="O58" s="221">
        <v>0</v>
      </c>
      <c r="P58" s="195">
        <f t="shared" si="14"/>
        <v>0</v>
      </c>
      <c r="Q58" s="184"/>
      <c r="S58" s="184" t="s">
        <v>249</v>
      </c>
      <c r="T58" s="184" t="s">
        <v>606</v>
      </c>
      <c r="U58" s="367" t="s">
        <v>607</v>
      </c>
      <c r="V58" s="184" t="s">
        <v>100</v>
      </c>
      <c r="W58" s="184" t="s">
        <v>18</v>
      </c>
      <c r="X58" s="297">
        <f t="shared" si="15"/>
        <v>429133</v>
      </c>
      <c r="Y58" s="297">
        <f t="shared" si="16"/>
        <v>0</v>
      </c>
      <c r="Z58" s="184" t="s">
        <v>208</v>
      </c>
    </row>
    <row r="59" spans="1:26" x14ac:dyDescent="0.25">
      <c r="A59" s="184"/>
      <c r="B59" s="184" t="s">
        <v>209</v>
      </c>
      <c r="C59" s="212">
        <v>645000</v>
      </c>
      <c r="D59" s="213"/>
      <c r="E59" s="213"/>
      <c r="F59" s="230">
        <f>1700+19385</f>
        <v>21085</v>
      </c>
      <c r="G59" s="231">
        <v>623915</v>
      </c>
      <c r="H59" s="232">
        <v>623915.00000000012</v>
      </c>
      <c r="I59" s="229"/>
      <c r="J59" s="230">
        <f>[5]FSU!J79</f>
        <v>0</v>
      </c>
      <c r="K59" s="230">
        <f>[5]FSU!K79</f>
        <v>0</v>
      </c>
      <c r="L59" s="221">
        <f t="shared" si="13"/>
        <v>-1.1641532182693481E-10</v>
      </c>
      <c r="M59" s="221">
        <f t="shared" si="17"/>
        <v>20426.119999999952</v>
      </c>
      <c r="N59" s="221">
        <v>551667.05000000016</v>
      </c>
      <c r="O59" s="221">
        <v>51821.83</v>
      </c>
      <c r="P59" s="195">
        <f t="shared" si="14"/>
        <v>0</v>
      </c>
      <c r="Q59" s="184"/>
      <c r="S59" s="184" t="s">
        <v>249</v>
      </c>
      <c r="T59" s="184" t="s">
        <v>606</v>
      </c>
      <c r="U59" s="367" t="s">
        <v>607</v>
      </c>
      <c r="V59" s="184" t="s">
        <v>100</v>
      </c>
      <c r="W59" s="184" t="s">
        <v>19</v>
      </c>
      <c r="X59" s="297">
        <f t="shared" si="15"/>
        <v>623915.00000000012</v>
      </c>
      <c r="Y59" s="297">
        <f t="shared" si="16"/>
        <v>-1.1641532182693481E-10</v>
      </c>
      <c r="Z59" s="184" t="s">
        <v>209</v>
      </c>
    </row>
    <row r="60" spans="1:26" x14ac:dyDescent="0.25">
      <c r="A60" s="184"/>
      <c r="B60" s="184" t="s">
        <v>226</v>
      </c>
      <c r="C60" s="212">
        <v>1660185</v>
      </c>
      <c r="D60" s="213"/>
      <c r="E60" s="213"/>
      <c r="F60" s="230">
        <f>137991.19+5662</f>
        <v>143653.19</v>
      </c>
      <c r="G60" s="231">
        <v>1516531.81</v>
      </c>
      <c r="H60" s="232">
        <v>689113.52999999991</v>
      </c>
      <c r="I60" s="229"/>
      <c r="J60" s="230">
        <f>[5]SU!J40</f>
        <v>0</v>
      </c>
      <c r="K60" s="230">
        <f>[5]SU!K40</f>
        <v>0</v>
      </c>
      <c r="L60" s="221">
        <f t="shared" si="13"/>
        <v>827418.28000000014</v>
      </c>
      <c r="M60" s="221">
        <f t="shared" si="17"/>
        <v>333784.83999999997</v>
      </c>
      <c r="N60" s="221">
        <v>267411.58999999997</v>
      </c>
      <c r="O60" s="221">
        <v>87917.1</v>
      </c>
      <c r="P60" s="195">
        <f t="shared" si="14"/>
        <v>0</v>
      </c>
      <c r="Q60" s="184"/>
      <c r="S60" s="184" t="s">
        <v>249</v>
      </c>
      <c r="T60" s="184" t="s">
        <v>606</v>
      </c>
      <c r="U60" s="367" t="s">
        <v>607</v>
      </c>
      <c r="V60" s="184" t="s">
        <v>100</v>
      </c>
      <c r="W60" s="184" t="s">
        <v>20</v>
      </c>
      <c r="X60" s="297">
        <f t="shared" si="15"/>
        <v>689113.52999999991</v>
      </c>
      <c r="Y60" s="297">
        <f t="shared" si="16"/>
        <v>827418.28000000014</v>
      </c>
      <c r="Z60" s="184" t="s">
        <v>226</v>
      </c>
    </row>
    <row r="61" spans="1:26" x14ac:dyDescent="0.25">
      <c r="A61" s="184"/>
      <c r="B61" s="184" t="s">
        <v>211</v>
      </c>
      <c r="C61" s="212">
        <v>1776220</v>
      </c>
      <c r="D61" s="213"/>
      <c r="E61" s="213"/>
      <c r="F61" s="230">
        <f>30764.52+7301.55</f>
        <v>38066.07</v>
      </c>
      <c r="G61" s="222">
        <v>1738153.9300000002</v>
      </c>
      <c r="H61" s="223">
        <v>1081318.3800000001</v>
      </c>
      <c r="I61" s="221"/>
      <c r="J61" s="226">
        <f>[5]TU!J44+[5]TU!J49+[5]TU!J81</f>
        <v>0</v>
      </c>
      <c r="K61" s="226">
        <f>[5]TU!K44+[5]TU!K49+[5]TU!K81</f>
        <v>0</v>
      </c>
      <c r="L61" s="221">
        <f t="shared" si="13"/>
        <v>656835.55000000005</v>
      </c>
      <c r="M61" s="221">
        <f t="shared" si="17"/>
        <v>800762.55000000016</v>
      </c>
      <c r="N61" s="221">
        <v>61603.979999999952</v>
      </c>
      <c r="O61" s="221">
        <v>218951.85</v>
      </c>
      <c r="P61" s="195">
        <f t="shared" si="14"/>
        <v>0</v>
      </c>
      <c r="Q61" s="184"/>
      <c r="S61" s="184" t="s">
        <v>249</v>
      </c>
      <c r="T61" s="184" t="s">
        <v>606</v>
      </c>
      <c r="U61" s="367" t="s">
        <v>607</v>
      </c>
      <c r="V61" s="184" t="s">
        <v>100</v>
      </c>
      <c r="W61" s="184" t="s">
        <v>21</v>
      </c>
      <c r="X61" s="297">
        <f t="shared" si="15"/>
        <v>1081318.3800000001</v>
      </c>
      <c r="Y61" s="297">
        <f t="shared" si="16"/>
        <v>656835.55000000005</v>
      </c>
      <c r="Z61" s="184" t="s">
        <v>211</v>
      </c>
    </row>
    <row r="62" spans="1:26" x14ac:dyDescent="0.25">
      <c r="A62" s="184"/>
      <c r="B62" s="184" t="s">
        <v>212</v>
      </c>
      <c r="C62" s="212">
        <v>676486</v>
      </c>
      <c r="D62" s="213"/>
      <c r="E62" s="213"/>
      <c r="F62" s="233">
        <v>42465.599999999999</v>
      </c>
      <c r="G62" s="222">
        <v>634020.4</v>
      </c>
      <c r="H62" s="223">
        <v>94271.45</v>
      </c>
      <c r="I62" s="221"/>
      <c r="J62" s="226">
        <f>[5]UBalt!J62</f>
        <v>0</v>
      </c>
      <c r="K62" s="226">
        <f>[5]UBalt!K62</f>
        <v>0</v>
      </c>
      <c r="L62" s="221">
        <f t="shared" si="13"/>
        <v>539748.95000000007</v>
      </c>
      <c r="M62" s="221">
        <f t="shared" si="17"/>
        <v>88609.9</v>
      </c>
      <c r="N62" s="221">
        <v>5661.55</v>
      </c>
      <c r="O62" s="221">
        <v>0</v>
      </c>
      <c r="P62" s="195">
        <f t="shared" si="14"/>
        <v>0</v>
      </c>
      <c r="Q62" s="184"/>
      <c r="S62" s="184" t="s">
        <v>249</v>
      </c>
      <c r="T62" s="184" t="s">
        <v>606</v>
      </c>
      <c r="U62" s="367" t="s">
        <v>607</v>
      </c>
      <c r="V62" s="184" t="s">
        <v>100</v>
      </c>
      <c r="W62" s="184" t="s">
        <v>22</v>
      </c>
      <c r="X62" s="297">
        <f t="shared" si="15"/>
        <v>94271.45</v>
      </c>
      <c r="Y62" s="297">
        <f t="shared" si="16"/>
        <v>539748.95000000007</v>
      </c>
      <c r="Z62" s="184" t="s">
        <v>212</v>
      </c>
    </row>
    <row r="63" spans="1:26" x14ac:dyDescent="0.25">
      <c r="A63" s="184"/>
      <c r="B63" s="224" t="s">
        <v>216</v>
      </c>
      <c r="C63" s="212">
        <v>4121354</v>
      </c>
      <c r="D63" s="213"/>
      <c r="E63" s="221">
        <f>63620.75-700000-600000</f>
        <v>-1236379.25</v>
      </c>
      <c r="F63" s="230"/>
      <c r="G63" s="222">
        <v>2884974.75</v>
      </c>
      <c r="H63" s="223">
        <v>0</v>
      </c>
      <c r="I63" s="221"/>
      <c r="J63" s="226"/>
      <c r="K63" s="226"/>
      <c r="L63" s="221">
        <f t="shared" si="13"/>
        <v>2884974.75</v>
      </c>
      <c r="M63" s="221">
        <f t="shared" si="17"/>
        <v>0</v>
      </c>
      <c r="N63" s="221">
        <v>0</v>
      </c>
      <c r="O63" s="221">
        <v>0</v>
      </c>
      <c r="P63" s="195">
        <f t="shared" si="14"/>
        <v>0</v>
      </c>
      <c r="Q63" s="184"/>
      <c r="S63" s="184" t="s">
        <v>249</v>
      </c>
      <c r="T63" s="184" t="s">
        <v>606</v>
      </c>
      <c r="U63" s="367" t="s">
        <v>607</v>
      </c>
      <c r="V63" s="184" t="s">
        <v>100</v>
      </c>
      <c r="W63" s="224" t="s">
        <v>56</v>
      </c>
      <c r="X63" s="297">
        <f t="shared" si="15"/>
        <v>0</v>
      </c>
      <c r="Y63" s="297">
        <f t="shared" si="16"/>
        <v>2884974.75</v>
      </c>
      <c r="Z63" s="224" t="s">
        <v>216</v>
      </c>
    </row>
    <row r="64" spans="1:26" x14ac:dyDescent="0.25">
      <c r="A64" s="184"/>
      <c r="B64" s="184" t="s">
        <v>244</v>
      </c>
      <c r="C64" s="212"/>
      <c r="D64" s="213"/>
      <c r="E64" s="221">
        <v>700000</v>
      </c>
      <c r="F64" s="230"/>
      <c r="G64" s="222">
        <v>700000</v>
      </c>
      <c r="H64" s="223">
        <v>700000</v>
      </c>
      <c r="I64" s="221"/>
      <c r="J64" s="226">
        <f>[5]UMES!J47</f>
        <v>0</v>
      </c>
      <c r="K64" s="226">
        <f>[5]UMES!K47</f>
        <v>0</v>
      </c>
      <c r="L64" s="221">
        <f t="shared" si="13"/>
        <v>0</v>
      </c>
      <c r="M64" s="221">
        <f>H64-N64-O64</f>
        <v>700000</v>
      </c>
      <c r="N64" s="221">
        <v>0</v>
      </c>
      <c r="O64" s="221">
        <v>0</v>
      </c>
      <c r="P64" s="195">
        <f t="shared" si="14"/>
        <v>0</v>
      </c>
      <c r="Q64" s="184"/>
      <c r="S64" s="184" t="s">
        <v>249</v>
      </c>
      <c r="T64" s="184" t="s">
        <v>606</v>
      </c>
      <c r="U64" s="367" t="s">
        <v>607</v>
      </c>
      <c r="V64" s="184" t="s">
        <v>100</v>
      </c>
      <c r="W64" s="184" t="s">
        <v>14</v>
      </c>
      <c r="X64" s="297">
        <f t="shared" si="15"/>
        <v>700000</v>
      </c>
      <c r="Y64" s="297">
        <f t="shared" si="16"/>
        <v>0</v>
      </c>
      <c r="Z64" s="184" t="s">
        <v>244</v>
      </c>
    </row>
    <row r="65" spans="1:26" x14ac:dyDescent="0.25">
      <c r="A65" s="184"/>
      <c r="B65" s="234" t="s">
        <v>502</v>
      </c>
      <c r="C65" s="212"/>
      <c r="D65" s="213"/>
      <c r="E65" s="221">
        <v>600000</v>
      </c>
      <c r="F65" s="230"/>
      <c r="G65" s="222">
        <v>600000</v>
      </c>
      <c r="H65" s="223">
        <v>0</v>
      </c>
      <c r="I65" s="221"/>
      <c r="J65" s="226">
        <f>'[5]USM &amp; COI'!J19</f>
        <v>0</v>
      </c>
      <c r="K65" s="226">
        <f>'[5]USM &amp; COI'!K19</f>
        <v>0</v>
      </c>
      <c r="L65" s="221">
        <f>'[5]USM &amp; COI'!L19</f>
        <v>600000</v>
      </c>
      <c r="M65" s="221">
        <f>H65-N65-O65</f>
        <v>0</v>
      </c>
      <c r="N65" s="221">
        <v>0</v>
      </c>
      <c r="O65" s="221">
        <v>0</v>
      </c>
      <c r="P65" s="195">
        <f t="shared" si="14"/>
        <v>0</v>
      </c>
      <c r="Q65" s="184"/>
      <c r="S65" s="184" t="s">
        <v>249</v>
      </c>
      <c r="T65" s="184" t="s">
        <v>606</v>
      </c>
      <c r="U65" s="367" t="s">
        <v>607</v>
      </c>
      <c r="V65" s="184" t="s">
        <v>100</v>
      </c>
      <c r="W65" s="234" t="s">
        <v>610</v>
      </c>
      <c r="X65" s="297">
        <f t="shared" si="15"/>
        <v>0</v>
      </c>
      <c r="Y65" s="297">
        <f t="shared" si="16"/>
        <v>600000</v>
      </c>
      <c r="Z65" s="234" t="s">
        <v>502</v>
      </c>
    </row>
    <row r="66" spans="1:26" x14ac:dyDescent="0.25">
      <c r="A66" s="184"/>
      <c r="B66" s="224"/>
      <c r="C66" s="212"/>
      <c r="D66" s="213"/>
      <c r="E66" s="213"/>
      <c r="F66" s="214"/>
      <c r="G66" s="215"/>
      <c r="H66" s="216"/>
      <c r="I66" s="213"/>
      <c r="J66" s="217"/>
      <c r="K66" s="217"/>
      <c r="L66" s="213"/>
      <c r="M66" s="213"/>
      <c r="N66" s="213"/>
      <c r="O66" s="213"/>
      <c r="P66" s="184"/>
      <c r="Q66" s="184"/>
      <c r="Z66" s="224"/>
    </row>
    <row r="67" spans="1:26" ht="13.8" thickBot="1" x14ac:dyDescent="0.3">
      <c r="A67" s="184"/>
      <c r="B67" s="227" t="s">
        <v>227</v>
      </c>
      <c r="C67" s="228">
        <f t="shared" ref="C67:H67" si="18">SUM(C50:C66)</f>
        <v>30000000</v>
      </c>
      <c r="D67" s="228">
        <f t="shared" si="18"/>
        <v>0</v>
      </c>
      <c r="E67" s="228">
        <f t="shared" si="18"/>
        <v>63620.75</v>
      </c>
      <c r="F67" s="228">
        <f t="shared" si="18"/>
        <v>897052.64999999991</v>
      </c>
      <c r="G67" s="228">
        <f t="shared" si="18"/>
        <v>29166568.099999994</v>
      </c>
      <c r="H67" s="228">
        <f t="shared" si="18"/>
        <v>17577004.269999996</v>
      </c>
      <c r="I67" s="228">
        <f>SUM(I50:I63)</f>
        <v>0</v>
      </c>
      <c r="J67" s="228">
        <f t="shared" ref="J67:O67" si="19">SUM(J50:J66)</f>
        <v>0</v>
      </c>
      <c r="K67" s="228">
        <f t="shared" si="19"/>
        <v>0</v>
      </c>
      <c r="L67" s="228">
        <f t="shared" si="19"/>
        <v>11589563.830000002</v>
      </c>
      <c r="M67" s="228">
        <f t="shared" si="19"/>
        <v>4610798.22</v>
      </c>
      <c r="N67" s="228">
        <f t="shared" si="19"/>
        <v>7479624.8299999991</v>
      </c>
      <c r="O67" s="228">
        <f t="shared" si="19"/>
        <v>5486581.2199999997</v>
      </c>
      <c r="P67" s="195">
        <f>C67+D67+E67-F67-G67</f>
        <v>0</v>
      </c>
      <c r="Q67" s="184"/>
      <c r="Z67" s="224"/>
    </row>
    <row r="68" spans="1:26" ht="13.8" thickTop="1" x14ac:dyDescent="0.25">
      <c r="A68" s="184"/>
      <c r="B68" s="184"/>
      <c r="C68" s="212"/>
      <c r="D68" s="213"/>
      <c r="E68" s="213"/>
      <c r="F68" s="214"/>
      <c r="G68" s="215"/>
      <c r="H68" s="216"/>
      <c r="I68" s="213"/>
      <c r="J68" s="217"/>
      <c r="K68" s="217"/>
      <c r="L68" s="213"/>
      <c r="M68" s="213"/>
      <c r="N68" s="213"/>
      <c r="O68" s="213"/>
      <c r="P68" s="184"/>
      <c r="Q68" s="184"/>
    </row>
    <row r="69" spans="1:26" x14ac:dyDescent="0.25">
      <c r="A69" s="224" t="s">
        <v>228</v>
      </c>
      <c r="B69" s="184"/>
      <c r="C69" s="212"/>
      <c r="D69" s="213"/>
      <c r="E69" s="213"/>
      <c r="F69" s="214"/>
      <c r="G69" s="215"/>
      <c r="H69" s="216"/>
      <c r="I69" s="213"/>
      <c r="J69" s="217"/>
      <c r="K69" s="217"/>
      <c r="L69" s="213"/>
      <c r="M69" s="213"/>
      <c r="N69" s="213"/>
      <c r="O69" s="213"/>
      <c r="P69" s="184"/>
      <c r="Q69" s="184"/>
    </row>
    <row r="70" spans="1:26" x14ac:dyDescent="0.25">
      <c r="A70" s="224"/>
      <c r="B70" s="184" t="s">
        <v>229</v>
      </c>
      <c r="C70" s="212">
        <v>7760000</v>
      </c>
      <c r="D70" s="213"/>
      <c r="E70" s="213"/>
      <c r="F70" s="226">
        <f>7760000</f>
        <v>7760000</v>
      </c>
      <c r="G70" s="222">
        <v>0</v>
      </c>
      <c r="H70" s="223">
        <v>0</v>
      </c>
      <c r="I70" s="221"/>
      <c r="J70" s="226">
        <f>[5]UMCP!J321</f>
        <v>0</v>
      </c>
      <c r="K70" s="226">
        <f>[5]UMCP!K321</f>
        <v>0</v>
      </c>
      <c r="L70" s="221">
        <f>G70-H70-I70-J70-K70</f>
        <v>0</v>
      </c>
      <c r="M70" s="221">
        <f>H70-N70-O70</f>
        <v>0</v>
      </c>
      <c r="N70" s="221">
        <v>0</v>
      </c>
      <c r="O70" s="221">
        <v>0</v>
      </c>
      <c r="P70" s="195">
        <f>C70+D70+E70-F70-G70</f>
        <v>0</v>
      </c>
      <c r="Q70" s="184" t="s">
        <v>200</v>
      </c>
      <c r="S70" s="184" t="s">
        <v>343</v>
      </c>
      <c r="T70" s="184" t="s">
        <v>343</v>
      </c>
      <c r="U70" s="184">
        <v>20</v>
      </c>
      <c r="V70" s="184" t="s">
        <v>613</v>
      </c>
      <c r="W70" s="184" t="s">
        <v>11</v>
      </c>
      <c r="X70" s="297">
        <f>H70</f>
        <v>0</v>
      </c>
      <c r="Y70" s="297">
        <f>L70</f>
        <v>0</v>
      </c>
      <c r="Z70" s="184" t="s">
        <v>229</v>
      </c>
    </row>
    <row r="71" spans="1:26" x14ac:dyDescent="0.25">
      <c r="A71" s="224"/>
      <c r="B71" s="184" t="s">
        <v>230</v>
      </c>
      <c r="C71" s="212">
        <v>23550000</v>
      </c>
      <c r="D71" s="213"/>
      <c r="E71" s="213"/>
      <c r="F71" s="226">
        <v>23550000</v>
      </c>
      <c r="G71" s="222">
        <v>0</v>
      </c>
      <c r="H71" s="223">
        <v>0</v>
      </c>
      <c r="I71" s="221"/>
      <c r="J71" s="226">
        <f>[5]UMCP!J326</f>
        <v>0</v>
      </c>
      <c r="K71" s="226">
        <f>[5]UMCP!K326</f>
        <v>0</v>
      </c>
      <c r="L71" s="221">
        <f>G71-H71-I71-J71-K71</f>
        <v>0</v>
      </c>
      <c r="M71" s="221">
        <f>H71-N71-O71</f>
        <v>0</v>
      </c>
      <c r="N71" s="221">
        <v>0</v>
      </c>
      <c r="O71" s="221">
        <v>0</v>
      </c>
      <c r="P71" s="195">
        <f>C71+D71+E71-F71-G71</f>
        <v>0</v>
      </c>
      <c r="Q71" s="184" t="s">
        <v>200</v>
      </c>
      <c r="S71" s="184" t="s">
        <v>343</v>
      </c>
      <c r="T71" s="184" t="s">
        <v>343</v>
      </c>
      <c r="U71" s="184">
        <v>20</v>
      </c>
      <c r="V71" s="184" t="s">
        <v>613</v>
      </c>
      <c r="W71" s="184" t="s">
        <v>11</v>
      </c>
      <c r="X71" s="297">
        <f>H71</f>
        <v>0</v>
      </c>
      <c r="Y71" s="297">
        <f>L71</f>
        <v>0</v>
      </c>
      <c r="Z71" s="184" t="s">
        <v>230</v>
      </c>
    </row>
    <row r="72" spans="1:26" x14ac:dyDescent="0.25">
      <c r="A72" s="224"/>
      <c r="B72" s="184" t="s">
        <v>231</v>
      </c>
      <c r="C72" s="212">
        <v>3360000</v>
      </c>
      <c r="D72" s="221">
        <v>-377822.1</v>
      </c>
      <c r="E72" s="213"/>
      <c r="F72" s="100">
        <v>2982177.9</v>
      </c>
      <c r="G72" s="222">
        <v>0</v>
      </c>
      <c r="H72" s="223">
        <v>0</v>
      </c>
      <c r="I72" s="221"/>
      <c r="J72" s="226">
        <f>[5]UMCP!J334</f>
        <v>0</v>
      </c>
      <c r="K72" s="226">
        <f>[5]UMCP!K334</f>
        <v>0</v>
      </c>
      <c r="L72" s="221">
        <f>G72-H72-I72-J72-K72</f>
        <v>0</v>
      </c>
      <c r="M72" s="221">
        <f>H72-N72-O72</f>
        <v>0</v>
      </c>
      <c r="N72" s="221">
        <v>0</v>
      </c>
      <c r="O72" s="221">
        <v>0</v>
      </c>
      <c r="P72" s="195">
        <f>C72+D72+E72-F72-G72</f>
        <v>0</v>
      </c>
      <c r="Q72" s="184" t="s">
        <v>200</v>
      </c>
      <c r="S72" s="184" t="s">
        <v>343</v>
      </c>
      <c r="T72" s="184" t="s">
        <v>343</v>
      </c>
      <c r="U72" s="184">
        <v>20</v>
      </c>
      <c r="V72" s="184" t="s">
        <v>613</v>
      </c>
      <c r="W72" s="184" t="s">
        <v>11</v>
      </c>
      <c r="X72" s="297">
        <f>H72</f>
        <v>0</v>
      </c>
      <c r="Y72" s="297">
        <f>L72</f>
        <v>0</v>
      </c>
      <c r="Z72" s="184" t="s">
        <v>231</v>
      </c>
    </row>
    <row r="73" spans="1:26" x14ac:dyDescent="0.25">
      <c r="A73" s="184"/>
      <c r="B73" s="184" t="s">
        <v>203</v>
      </c>
      <c r="C73" s="212">
        <v>10268103</v>
      </c>
      <c r="D73" s="221">
        <f>-2315004.67-2253426.81</f>
        <v>-4568431.4800000004</v>
      </c>
      <c r="E73" s="213"/>
      <c r="F73" s="100">
        <f>3074614.24+2436804.38+487.26</f>
        <v>5511905.8799999999</v>
      </c>
      <c r="G73" s="222">
        <v>187765.64000000013</v>
      </c>
      <c r="H73" s="223">
        <v>2441192.4499999997</v>
      </c>
      <c r="I73" s="221">
        <v>-2253426.81</v>
      </c>
      <c r="J73" s="226">
        <f>[5]UMB!J121</f>
        <v>0</v>
      </c>
      <c r="K73" s="226">
        <f>[5]UMB!K121</f>
        <v>0</v>
      </c>
      <c r="L73" s="221">
        <f>G73-H73-I73-J73-K73</f>
        <v>4.6566128730773926E-10</v>
      </c>
      <c r="M73" s="221">
        <f>H73-N73-O73+I73</f>
        <v>-1938648.3100000005</v>
      </c>
      <c r="N73" s="221">
        <v>561372.7200000002</v>
      </c>
      <c r="O73" s="221">
        <v>1565041.23</v>
      </c>
      <c r="P73" s="195">
        <f>C73+D73+E73-F73-G73</f>
        <v>-4.6566128730773926E-10</v>
      </c>
      <c r="Q73" s="184" t="s">
        <v>200</v>
      </c>
      <c r="S73" s="184" t="s">
        <v>343</v>
      </c>
      <c r="T73" s="184" t="s">
        <v>343</v>
      </c>
      <c r="U73" s="184">
        <v>20</v>
      </c>
      <c r="V73" s="184" t="s">
        <v>613</v>
      </c>
      <c r="W73" s="184" t="s">
        <v>12</v>
      </c>
      <c r="X73" s="368">
        <f>H73+I73</f>
        <v>187765.63999999966</v>
      </c>
      <c r="Y73" s="297">
        <f>L73</f>
        <v>4.6566128730773926E-10</v>
      </c>
      <c r="Z73" s="184" t="s">
        <v>203</v>
      </c>
    </row>
    <row r="74" spans="1:26" x14ac:dyDescent="0.25">
      <c r="A74" s="184"/>
      <c r="B74" s="184" t="s">
        <v>232</v>
      </c>
      <c r="C74" s="212">
        <v>3230000</v>
      </c>
      <c r="D74" s="221">
        <f>-1000000-2230000</f>
        <v>-3230000</v>
      </c>
      <c r="E74" s="213"/>
      <c r="F74" s="187"/>
      <c r="G74" s="222">
        <v>0</v>
      </c>
      <c r="H74" s="223">
        <v>0</v>
      </c>
      <c r="I74" s="221"/>
      <c r="J74" s="226">
        <f>'[5]USM &amp; COI'!J105</f>
        <v>0</v>
      </c>
      <c r="K74" s="226">
        <f>'[5]USM &amp; COI'!K105</f>
        <v>0</v>
      </c>
      <c r="L74" s="221">
        <f>G74-H74-I74-J74-K74</f>
        <v>0</v>
      </c>
      <c r="M74" s="221">
        <f>H74-N74-O74</f>
        <v>0</v>
      </c>
      <c r="N74" s="221">
        <v>0</v>
      </c>
      <c r="O74" s="221">
        <v>0</v>
      </c>
      <c r="P74" s="195">
        <f>C74+D74+E74-F74-G74</f>
        <v>0</v>
      </c>
      <c r="Q74" s="184"/>
      <c r="S74" s="184" t="s">
        <v>249</v>
      </c>
      <c r="T74" s="184" t="s">
        <v>606</v>
      </c>
      <c r="U74" s="367" t="s">
        <v>607</v>
      </c>
      <c r="V74" s="184" t="s">
        <v>613</v>
      </c>
      <c r="W74" s="184" t="s">
        <v>614</v>
      </c>
      <c r="X74" s="297">
        <f>H74</f>
        <v>0</v>
      </c>
      <c r="Y74" s="297">
        <f>L74</f>
        <v>0</v>
      </c>
      <c r="Z74" s="184" t="s">
        <v>232</v>
      </c>
    </row>
    <row r="75" spans="1:26" x14ac:dyDescent="0.25">
      <c r="A75" s="184"/>
      <c r="B75" s="184"/>
      <c r="C75" s="212"/>
      <c r="D75" s="213"/>
      <c r="E75" s="213"/>
      <c r="F75" s="214"/>
      <c r="G75" s="215"/>
      <c r="H75" s="216"/>
      <c r="I75" s="213"/>
      <c r="J75" s="217"/>
      <c r="K75" s="217"/>
      <c r="L75" s="213"/>
      <c r="M75" s="213"/>
      <c r="N75" s="213"/>
      <c r="O75" s="213"/>
      <c r="P75" s="184"/>
      <c r="Q75" s="184"/>
    </row>
    <row r="76" spans="1:26" ht="13.8" thickBot="1" x14ac:dyDescent="0.3">
      <c r="A76" s="184"/>
      <c r="B76" s="227" t="s">
        <v>233</v>
      </c>
      <c r="C76" s="228">
        <f>SUM(C70:C75)</f>
        <v>48168103</v>
      </c>
      <c r="D76" s="228">
        <f t="shared" ref="D76:O76" si="20">SUM(D70:D75)</f>
        <v>-8176253.5800000001</v>
      </c>
      <c r="E76" s="228">
        <f t="shared" si="20"/>
        <v>0</v>
      </c>
      <c r="F76" s="228">
        <f t="shared" si="20"/>
        <v>39804083.780000001</v>
      </c>
      <c r="G76" s="228">
        <f t="shared" si="20"/>
        <v>187765.64000000013</v>
      </c>
      <c r="H76" s="228">
        <f t="shared" si="20"/>
        <v>2441192.4499999997</v>
      </c>
      <c r="I76" s="228">
        <f t="shared" si="20"/>
        <v>-2253426.81</v>
      </c>
      <c r="J76" s="228">
        <f t="shared" si="20"/>
        <v>0</v>
      </c>
      <c r="K76" s="228">
        <f t="shared" si="20"/>
        <v>0</v>
      </c>
      <c r="L76" s="228">
        <f t="shared" si="20"/>
        <v>4.6566128730773926E-10</v>
      </c>
      <c r="M76" s="228">
        <f t="shared" si="20"/>
        <v>-1938648.3100000005</v>
      </c>
      <c r="N76" s="228">
        <f t="shared" si="20"/>
        <v>561372.7200000002</v>
      </c>
      <c r="O76" s="228">
        <f t="shared" si="20"/>
        <v>1565041.23</v>
      </c>
      <c r="P76" s="195">
        <f>C76+D76+E76-F76-G76</f>
        <v>4.6566128730773926E-10</v>
      </c>
      <c r="Q76" s="184"/>
      <c r="Z76" s="224"/>
    </row>
    <row r="77" spans="1:26" ht="13.8" thickTop="1" x14ac:dyDescent="0.25">
      <c r="A77" s="184"/>
      <c r="B77" s="184"/>
      <c r="C77" s="212"/>
      <c r="D77" s="213"/>
      <c r="E77" s="213"/>
      <c r="F77" s="214"/>
      <c r="G77" s="215"/>
      <c r="H77" s="216"/>
      <c r="I77" s="213"/>
      <c r="J77" s="217"/>
      <c r="K77" s="217"/>
      <c r="L77" s="213"/>
      <c r="M77" s="213"/>
      <c r="N77" s="213"/>
      <c r="O77" s="213"/>
      <c r="P77" s="184"/>
      <c r="Q77" s="184"/>
    </row>
    <row r="78" spans="1:26" x14ac:dyDescent="0.25">
      <c r="A78" s="224" t="s">
        <v>234</v>
      </c>
      <c r="B78" s="184"/>
      <c r="C78" s="212"/>
      <c r="D78" s="213"/>
      <c r="E78" s="213"/>
      <c r="F78" s="187"/>
      <c r="G78" s="222"/>
      <c r="H78" s="223"/>
      <c r="I78" s="222"/>
      <c r="J78" s="222"/>
      <c r="K78" s="222"/>
      <c r="L78" s="221"/>
      <c r="M78" s="221"/>
      <c r="N78" s="221"/>
      <c r="O78" s="221"/>
      <c r="P78" s="184"/>
      <c r="Q78" s="184"/>
    </row>
    <row r="79" spans="1:26" x14ac:dyDescent="0.25">
      <c r="A79" s="184"/>
      <c r="B79" s="184" t="s">
        <v>235</v>
      </c>
      <c r="C79" s="212">
        <v>5000000</v>
      </c>
      <c r="D79" s="213"/>
      <c r="E79" s="213"/>
      <c r="F79" s="226">
        <f>187966.72+1357440.43</f>
        <v>1545407.15</v>
      </c>
      <c r="G79" s="222">
        <v>3454592.8500000006</v>
      </c>
      <c r="H79" s="223">
        <v>222521.52000000002</v>
      </c>
      <c r="I79" s="213"/>
      <c r="J79" s="217"/>
      <c r="K79" s="226">
        <f>[5]UMCP!K302</f>
        <v>0</v>
      </c>
      <c r="L79" s="221">
        <f>G79-H79-I79-J79-K79</f>
        <v>3232071.3300000005</v>
      </c>
      <c r="M79" s="221">
        <f t="shared" ref="M79:M93" si="21">H79-N79-O79</f>
        <v>215871.52000000002</v>
      </c>
      <c r="N79" s="221">
        <v>6650</v>
      </c>
      <c r="O79" s="221">
        <v>0</v>
      </c>
      <c r="P79" s="195">
        <f t="shared" ref="P79:P93" si="22">C79+D79+E79-F79-G79</f>
        <v>0</v>
      </c>
      <c r="Q79" s="184" t="s">
        <v>200</v>
      </c>
      <c r="S79" s="184" t="s">
        <v>249</v>
      </c>
      <c r="T79" s="184" t="s">
        <v>249</v>
      </c>
      <c r="U79" s="184">
        <v>20</v>
      </c>
      <c r="V79" s="184" t="s">
        <v>84</v>
      </c>
      <c r="W79" s="184" t="s">
        <v>11</v>
      </c>
      <c r="X79" s="297">
        <f t="shared" ref="X79:X93" si="23">H79</f>
        <v>222521.52000000002</v>
      </c>
      <c r="Y79" s="297">
        <f t="shared" ref="Y79:Y93" si="24">L79</f>
        <v>3232071.3300000005</v>
      </c>
      <c r="Z79" s="184" t="s">
        <v>235</v>
      </c>
    </row>
    <row r="80" spans="1:26" x14ac:dyDescent="0.25">
      <c r="A80" s="184"/>
      <c r="B80" s="184" t="s">
        <v>236</v>
      </c>
      <c r="C80" s="212">
        <v>10000000</v>
      </c>
      <c r="D80" s="213"/>
      <c r="E80" s="213"/>
      <c r="F80" s="226">
        <f>4026.61+2117361.09+420341.95</f>
        <v>2541729.65</v>
      </c>
      <c r="G80" s="222">
        <v>7458270.3500000006</v>
      </c>
      <c r="H80" s="223">
        <v>1753596.6299999994</v>
      </c>
      <c r="I80" s="213"/>
      <c r="J80" s="217"/>
      <c r="K80" s="217"/>
      <c r="L80" s="221">
        <f t="shared" ref="L80:L93" si="25">G80-H80-I80-J80-K80</f>
        <v>5704673.7200000007</v>
      </c>
      <c r="M80" s="221">
        <f t="shared" si="21"/>
        <v>425617.23999999953</v>
      </c>
      <c r="N80" s="221">
        <v>1327979.3899999999</v>
      </c>
      <c r="O80" s="221">
        <v>0</v>
      </c>
      <c r="P80" s="195">
        <f t="shared" si="22"/>
        <v>0</v>
      </c>
      <c r="Q80" s="184" t="s">
        <v>200</v>
      </c>
      <c r="S80" s="184" t="s">
        <v>249</v>
      </c>
      <c r="T80" s="184" t="s">
        <v>249</v>
      </c>
      <c r="U80" s="184">
        <v>20</v>
      </c>
      <c r="V80" s="184" t="s">
        <v>84</v>
      </c>
      <c r="W80" s="184" t="s">
        <v>14</v>
      </c>
      <c r="X80" s="297">
        <f t="shared" si="23"/>
        <v>1753596.6299999994</v>
      </c>
      <c r="Y80" s="297">
        <f t="shared" si="24"/>
        <v>5704673.7200000007</v>
      </c>
      <c r="Z80" s="184" t="s">
        <v>236</v>
      </c>
    </row>
    <row r="81" spans="1:26" x14ac:dyDescent="0.25">
      <c r="A81" s="184"/>
      <c r="B81" s="184" t="s">
        <v>237</v>
      </c>
      <c r="C81" s="212">
        <v>5000000</v>
      </c>
      <c r="D81" s="213"/>
      <c r="E81" s="213"/>
      <c r="F81" s="226">
        <f>60956.13+1036219.92+6874.52</f>
        <v>1104050.57</v>
      </c>
      <c r="G81" s="222">
        <v>3895949.43</v>
      </c>
      <c r="H81" s="223">
        <v>478072</v>
      </c>
      <c r="I81" s="213"/>
      <c r="J81" s="217"/>
      <c r="K81" s="217"/>
      <c r="L81" s="221">
        <f t="shared" si="25"/>
        <v>3417877.43</v>
      </c>
      <c r="M81" s="221">
        <f t="shared" si="21"/>
        <v>359203.77</v>
      </c>
      <c r="N81" s="221">
        <v>118868.23</v>
      </c>
      <c r="O81" s="221">
        <v>0</v>
      </c>
      <c r="P81" s="195">
        <f t="shared" si="22"/>
        <v>0</v>
      </c>
      <c r="Q81" s="184" t="s">
        <v>200</v>
      </c>
      <c r="S81" s="184" t="s">
        <v>249</v>
      </c>
      <c r="T81" s="184" t="s">
        <v>249</v>
      </c>
      <c r="U81" s="184">
        <v>20</v>
      </c>
      <c r="V81" s="184" t="s">
        <v>84</v>
      </c>
      <c r="W81" s="184" t="s">
        <v>19</v>
      </c>
      <c r="X81" s="297">
        <f t="shared" si="23"/>
        <v>478072</v>
      </c>
      <c r="Y81" s="297">
        <f t="shared" si="24"/>
        <v>3417877.43</v>
      </c>
      <c r="Z81" s="184" t="s">
        <v>237</v>
      </c>
    </row>
    <row r="82" spans="1:26" x14ac:dyDescent="0.25">
      <c r="A82" s="184"/>
      <c r="B82" s="224" t="s">
        <v>201</v>
      </c>
      <c r="C82" s="212"/>
      <c r="D82" s="213"/>
      <c r="E82" s="213"/>
      <c r="F82" s="214"/>
      <c r="G82" s="222"/>
      <c r="H82" s="216"/>
      <c r="I82" s="213"/>
      <c r="J82" s="217"/>
      <c r="K82" s="217"/>
      <c r="L82" s="221"/>
      <c r="M82" s="221">
        <f t="shared" si="21"/>
        <v>0</v>
      </c>
      <c r="N82" s="221"/>
      <c r="O82" s="221"/>
      <c r="P82" s="195">
        <f t="shared" si="22"/>
        <v>0</v>
      </c>
      <c r="Q82" s="184"/>
      <c r="W82" s="224"/>
      <c r="X82" s="297">
        <f t="shared" si="23"/>
        <v>0</v>
      </c>
      <c r="Y82" s="297">
        <f t="shared" si="24"/>
        <v>0</v>
      </c>
      <c r="Z82" s="224"/>
    </row>
    <row r="83" spans="1:26" x14ac:dyDescent="0.25">
      <c r="A83" s="184"/>
      <c r="B83" s="184" t="s">
        <v>202</v>
      </c>
      <c r="C83" s="212">
        <v>4744551</v>
      </c>
      <c r="D83" s="213"/>
      <c r="E83" s="213"/>
      <c r="F83" s="226">
        <f>723026.82+4021524.18</f>
        <v>4744551</v>
      </c>
      <c r="G83" s="222">
        <v>0</v>
      </c>
      <c r="H83" s="223">
        <v>0</v>
      </c>
      <c r="I83" s="213"/>
      <c r="J83" s="217"/>
      <c r="K83" s="226">
        <f>[5]UMCP!K144</f>
        <v>0</v>
      </c>
      <c r="L83" s="221">
        <f t="shared" si="25"/>
        <v>0</v>
      </c>
      <c r="M83" s="221">
        <f t="shared" si="21"/>
        <v>0</v>
      </c>
      <c r="N83" s="221">
        <v>0</v>
      </c>
      <c r="O83" s="221">
        <v>0</v>
      </c>
      <c r="P83" s="195">
        <f t="shared" si="22"/>
        <v>0</v>
      </c>
      <c r="Q83" s="184"/>
      <c r="S83" s="184" t="s">
        <v>249</v>
      </c>
      <c r="T83" s="184" t="s">
        <v>606</v>
      </c>
      <c r="U83" s="367" t="s">
        <v>607</v>
      </c>
      <c r="V83" s="184" t="s">
        <v>84</v>
      </c>
      <c r="W83" s="184" t="s">
        <v>11</v>
      </c>
      <c r="X83" s="297">
        <f t="shared" si="23"/>
        <v>0</v>
      </c>
      <c r="Y83" s="297">
        <f t="shared" si="24"/>
        <v>0</v>
      </c>
      <c r="Z83" s="184" t="s">
        <v>202</v>
      </c>
    </row>
    <row r="84" spans="1:26" x14ac:dyDescent="0.25">
      <c r="A84" s="184"/>
      <c r="B84" s="184" t="s">
        <v>203</v>
      </c>
      <c r="C84" s="212">
        <v>1926995</v>
      </c>
      <c r="D84" s="213"/>
      <c r="E84" s="213"/>
      <c r="F84" s="226">
        <f>500000+26189+40850.54</f>
        <v>567039.54</v>
      </c>
      <c r="G84" s="222">
        <v>1359955.46</v>
      </c>
      <c r="H84" s="223">
        <v>1184648.29</v>
      </c>
      <c r="I84" s="213"/>
      <c r="J84" s="217"/>
      <c r="K84" s="217"/>
      <c r="L84" s="221">
        <f>G84-H84-I84-J84-K84</f>
        <v>175307.16999999993</v>
      </c>
      <c r="M84" s="221">
        <f t="shared" si="21"/>
        <v>654322.92999999993</v>
      </c>
      <c r="N84" s="221">
        <v>185189.8600000001</v>
      </c>
      <c r="O84" s="221">
        <v>345135.5</v>
      </c>
      <c r="P84" s="195">
        <f t="shared" si="22"/>
        <v>0</v>
      </c>
      <c r="Q84" s="184"/>
      <c r="S84" s="184" t="s">
        <v>249</v>
      </c>
      <c r="T84" s="184" t="s">
        <v>606</v>
      </c>
      <c r="U84" s="367" t="s">
        <v>607</v>
      </c>
      <c r="V84" s="184" t="s">
        <v>84</v>
      </c>
      <c r="W84" s="184" t="s">
        <v>12</v>
      </c>
      <c r="X84" s="297">
        <f t="shared" si="23"/>
        <v>1184648.29</v>
      </c>
      <c r="Y84" s="297">
        <f t="shared" si="24"/>
        <v>175307.16999999993</v>
      </c>
      <c r="Z84" s="184" t="s">
        <v>203</v>
      </c>
    </row>
    <row r="85" spans="1:26" x14ac:dyDescent="0.25">
      <c r="A85" s="184"/>
      <c r="B85" s="184" t="s">
        <v>204</v>
      </c>
      <c r="C85" s="212">
        <v>563795</v>
      </c>
      <c r="D85" s="213"/>
      <c r="E85" s="213"/>
      <c r="F85" s="226">
        <v>0</v>
      </c>
      <c r="G85" s="222">
        <v>563795</v>
      </c>
      <c r="H85" s="223">
        <v>424374.56</v>
      </c>
      <c r="I85" s="213"/>
      <c r="J85" s="217"/>
      <c r="K85" s="226">
        <f>[5]UMES!K88</f>
        <v>0</v>
      </c>
      <c r="L85" s="221">
        <f t="shared" si="25"/>
        <v>139420.44</v>
      </c>
      <c r="M85" s="221">
        <f t="shared" si="21"/>
        <v>0</v>
      </c>
      <c r="N85" s="221">
        <v>4385.5599999999977</v>
      </c>
      <c r="O85" s="221">
        <v>419989</v>
      </c>
      <c r="P85" s="195">
        <f t="shared" si="22"/>
        <v>0</v>
      </c>
      <c r="Q85" s="184"/>
      <c r="S85" s="184" t="s">
        <v>249</v>
      </c>
      <c r="T85" s="184" t="s">
        <v>606</v>
      </c>
      <c r="U85" s="367" t="s">
        <v>607</v>
      </c>
      <c r="V85" s="184" t="s">
        <v>84</v>
      </c>
      <c r="W85" s="184" t="s">
        <v>14</v>
      </c>
      <c r="X85" s="297">
        <f t="shared" si="23"/>
        <v>424374.56</v>
      </c>
      <c r="Y85" s="297">
        <f t="shared" si="24"/>
        <v>139420.44</v>
      </c>
      <c r="Z85" s="184" t="s">
        <v>204</v>
      </c>
    </row>
    <row r="86" spans="1:26" x14ac:dyDescent="0.25">
      <c r="A86" s="184"/>
      <c r="B86" s="184" t="s">
        <v>205</v>
      </c>
      <c r="C86" s="212">
        <v>1081882</v>
      </c>
      <c r="D86" s="213"/>
      <c r="E86" s="213"/>
      <c r="F86" s="226"/>
      <c r="G86" s="222">
        <v>1081882</v>
      </c>
      <c r="H86" s="223">
        <v>809135.75999999989</v>
      </c>
      <c r="I86" s="213"/>
      <c r="J86" s="217"/>
      <c r="K86" s="217"/>
      <c r="L86" s="221">
        <f t="shared" si="25"/>
        <v>272746.24000000011</v>
      </c>
      <c r="M86" s="221">
        <f t="shared" si="21"/>
        <v>809135.75999999989</v>
      </c>
      <c r="N86" s="221">
        <v>0</v>
      </c>
      <c r="O86" s="221">
        <v>0</v>
      </c>
      <c r="P86" s="195">
        <f t="shared" si="22"/>
        <v>0</v>
      </c>
      <c r="Q86" s="184"/>
      <c r="S86" s="184" t="s">
        <v>249</v>
      </c>
      <c r="T86" s="184" t="s">
        <v>606</v>
      </c>
      <c r="U86" s="367" t="s">
        <v>607</v>
      </c>
      <c r="V86" s="184" t="s">
        <v>84</v>
      </c>
      <c r="W86" s="184" t="s">
        <v>15</v>
      </c>
      <c r="X86" s="297">
        <f t="shared" si="23"/>
        <v>809135.75999999989</v>
      </c>
      <c r="Y86" s="297">
        <f t="shared" si="24"/>
        <v>272746.24000000011</v>
      </c>
      <c r="Z86" s="184" t="s">
        <v>205</v>
      </c>
    </row>
    <row r="87" spans="1:26" x14ac:dyDescent="0.25">
      <c r="A87" s="184"/>
      <c r="B87" s="184" t="s">
        <v>206</v>
      </c>
      <c r="C87" s="212">
        <v>206031</v>
      </c>
      <c r="D87" s="213"/>
      <c r="E87" s="213"/>
      <c r="F87" s="226"/>
      <c r="G87" s="222">
        <v>206031</v>
      </c>
      <c r="H87" s="223">
        <v>0</v>
      </c>
      <c r="I87" s="213"/>
      <c r="J87" s="217"/>
      <c r="K87" s="217"/>
      <c r="L87" s="221">
        <f t="shared" si="25"/>
        <v>206031</v>
      </c>
      <c r="M87" s="221">
        <f t="shared" si="21"/>
        <v>0</v>
      </c>
      <c r="N87" s="221">
        <v>-141453.12</v>
      </c>
      <c r="O87" s="221">
        <v>141453.12</v>
      </c>
      <c r="P87" s="195">
        <f t="shared" si="22"/>
        <v>0</v>
      </c>
      <c r="Q87" s="184"/>
      <c r="S87" s="184" t="s">
        <v>249</v>
      </c>
      <c r="T87" s="184" t="s">
        <v>606</v>
      </c>
      <c r="U87" s="367" t="s">
        <v>607</v>
      </c>
      <c r="V87" s="184" t="s">
        <v>84</v>
      </c>
      <c r="W87" s="184" t="s">
        <v>16</v>
      </c>
      <c r="X87" s="297">
        <f t="shared" si="23"/>
        <v>0</v>
      </c>
      <c r="Y87" s="297">
        <f t="shared" si="24"/>
        <v>206031</v>
      </c>
      <c r="Z87" s="184" t="s">
        <v>206</v>
      </c>
    </row>
    <row r="88" spans="1:26" x14ac:dyDescent="0.25">
      <c r="A88" s="184"/>
      <c r="B88" s="184" t="s">
        <v>207</v>
      </c>
      <c r="C88" s="212">
        <v>490197</v>
      </c>
      <c r="D88" s="213"/>
      <c r="E88" s="213"/>
      <c r="F88" s="226">
        <f>23144.51+447527.34</f>
        <v>470671.85000000003</v>
      </c>
      <c r="G88" s="222">
        <v>19525.149999999965</v>
      </c>
      <c r="H88" s="223">
        <v>19525.150000000001</v>
      </c>
      <c r="I88" s="213"/>
      <c r="J88" s="217"/>
      <c r="K88" s="226">
        <f>[5]BSU!K55</f>
        <v>0</v>
      </c>
      <c r="L88" s="221">
        <f t="shared" si="25"/>
        <v>-3.637978807091713E-11</v>
      </c>
      <c r="M88" s="221">
        <f t="shared" si="21"/>
        <v>1274.0999999999979</v>
      </c>
      <c r="N88" s="221">
        <v>17041.660000000003</v>
      </c>
      <c r="O88" s="221">
        <v>1209.3900000000001</v>
      </c>
      <c r="P88" s="195">
        <f t="shared" si="22"/>
        <v>0</v>
      </c>
      <c r="Q88" s="184"/>
      <c r="S88" s="184" t="s">
        <v>249</v>
      </c>
      <c r="T88" s="184" t="s">
        <v>606</v>
      </c>
      <c r="U88" s="367" t="s">
        <v>607</v>
      </c>
      <c r="V88" s="184" t="s">
        <v>84</v>
      </c>
      <c r="W88" s="184" t="s">
        <v>17</v>
      </c>
      <c r="X88" s="297">
        <f t="shared" si="23"/>
        <v>19525.150000000001</v>
      </c>
      <c r="Y88" s="297">
        <f t="shared" si="24"/>
        <v>-3.637978807091713E-11</v>
      </c>
      <c r="Z88" s="184" t="s">
        <v>207</v>
      </c>
    </row>
    <row r="89" spans="1:26" x14ac:dyDescent="0.25">
      <c r="A89" s="184"/>
      <c r="B89" s="184" t="s">
        <v>208</v>
      </c>
      <c r="C89" s="212">
        <v>457081</v>
      </c>
      <c r="D89" s="213"/>
      <c r="E89" s="213"/>
      <c r="F89" s="226">
        <f>198994.71</f>
        <v>198994.71</v>
      </c>
      <c r="G89" s="222">
        <v>258086.28999999998</v>
      </c>
      <c r="H89" s="223">
        <v>258086.28999999998</v>
      </c>
      <c r="I89" s="213"/>
      <c r="J89" s="217"/>
      <c r="K89" s="226">
        <f>[5]CSU!K50</f>
        <v>0</v>
      </c>
      <c r="L89" s="221">
        <f t="shared" si="25"/>
        <v>0</v>
      </c>
      <c r="M89" s="221">
        <f t="shared" si="21"/>
        <v>0</v>
      </c>
      <c r="N89" s="221">
        <v>123479.23999999999</v>
      </c>
      <c r="O89" s="221">
        <v>134607.04999999999</v>
      </c>
      <c r="P89" s="195">
        <f t="shared" si="22"/>
        <v>0</v>
      </c>
      <c r="Q89" s="184"/>
      <c r="S89" s="184" t="s">
        <v>249</v>
      </c>
      <c r="T89" s="184" t="s">
        <v>606</v>
      </c>
      <c r="U89" s="367" t="s">
        <v>607</v>
      </c>
      <c r="V89" s="184" t="s">
        <v>84</v>
      </c>
      <c r="W89" s="184" t="s">
        <v>18</v>
      </c>
      <c r="X89" s="297">
        <f t="shared" si="23"/>
        <v>258086.28999999998</v>
      </c>
      <c r="Y89" s="297">
        <f t="shared" si="24"/>
        <v>0</v>
      </c>
      <c r="Z89" s="184" t="s">
        <v>208</v>
      </c>
    </row>
    <row r="90" spans="1:26" x14ac:dyDescent="0.25">
      <c r="A90" s="184"/>
      <c r="B90" s="184" t="s">
        <v>209</v>
      </c>
      <c r="C90" s="212">
        <v>419210</v>
      </c>
      <c r="D90" s="213"/>
      <c r="E90" s="213"/>
      <c r="F90" s="226">
        <f>41693.17+94557.56</f>
        <v>136250.72999999998</v>
      </c>
      <c r="G90" s="222">
        <v>282959.27</v>
      </c>
      <c r="H90" s="223">
        <v>282959.26999999996</v>
      </c>
      <c r="I90" s="213"/>
      <c r="J90" s="217"/>
      <c r="K90" s="226">
        <f>[5]FSU!K97</f>
        <v>0</v>
      </c>
      <c r="L90" s="221">
        <f t="shared" si="25"/>
        <v>5.8207660913467407E-11</v>
      </c>
      <c r="M90" s="221">
        <f t="shared" si="21"/>
        <v>0</v>
      </c>
      <c r="N90" s="221">
        <v>39094.699999999953</v>
      </c>
      <c r="O90" s="221">
        <v>243864.57</v>
      </c>
      <c r="P90" s="195">
        <f t="shared" si="22"/>
        <v>0</v>
      </c>
      <c r="Q90" s="184"/>
      <c r="S90" s="184" t="s">
        <v>249</v>
      </c>
      <c r="T90" s="184" t="s">
        <v>606</v>
      </c>
      <c r="U90" s="367" t="s">
        <v>607</v>
      </c>
      <c r="V90" s="184" t="s">
        <v>84</v>
      </c>
      <c r="W90" s="184" t="s">
        <v>19</v>
      </c>
      <c r="X90" s="297">
        <f t="shared" si="23"/>
        <v>282959.26999999996</v>
      </c>
      <c r="Y90" s="297">
        <f t="shared" si="24"/>
        <v>5.8207660913467407E-11</v>
      </c>
      <c r="Z90" s="184" t="s">
        <v>209</v>
      </c>
    </row>
    <row r="91" spans="1:26" x14ac:dyDescent="0.25">
      <c r="A91" s="184"/>
      <c r="B91" s="184" t="s">
        <v>226</v>
      </c>
      <c r="C91" s="212">
        <v>612726</v>
      </c>
      <c r="D91" s="213"/>
      <c r="E91" s="213"/>
      <c r="F91" s="226">
        <f>238902.37</f>
        <v>238902.37</v>
      </c>
      <c r="G91" s="222">
        <v>373823.63</v>
      </c>
      <c r="H91" s="223">
        <v>338653.17000000004</v>
      </c>
      <c r="I91" s="213"/>
      <c r="J91" s="217"/>
      <c r="K91" s="226">
        <f>[5]SU!K55</f>
        <v>0</v>
      </c>
      <c r="L91" s="221">
        <f t="shared" si="25"/>
        <v>35170.459999999963</v>
      </c>
      <c r="M91" s="221">
        <f t="shared" si="21"/>
        <v>0</v>
      </c>
      <c r="N91" s="221">
        <v>248100.00000000006</v>
      </c>
      <c r="O91" s="221">
        <v>90553.17</v>
      </c>
      <c r="P91" s="195">
        <f t="shared" si="22"/>
        <v>0</v>
      </c>
      <c r="Q91" s="184"/>
      <c r="S91" s="184" t="s">
        <v>249</v>
      </c>
      <c r="T91" s="184" t="s">
        <v>606</v>
      </c>
      <c r="U91" s="367" t="s">
        <v>607</v>
      </c>
      <c r="V91" s="184" t="s">
        <v>84</v>
      </c>
      <c r="W91" s="184" t="s">
        <v>20</v>
      </c>
      <c r="X91" s="297">
        <f t="shared" si="23"/>
        <v>338653.17000000004</v>
      </c>
      <c r="Y91" s="297">
        <f t="shared" si="24"/>
        <v>35170.459999999963</v>
      </c>
      <c r="Z91" s="184" t="s">
        <v>226</v>
      </c>
    </row>
    <row r="92" spans="1:26" x14ac:dyDescent="0.25">
      <c r="A92" s="184"/>
      <c r="B92" s="184" t="s">
        <v>211</v>
      </c>
      <c r="C92" s="212">
        <v>1044456</v>
      </c>
      <c r="D92" s="213"/>
      <c r="E92" s="213"/>
      <c r="F92" s="214"/>
      <c r="G92" s="222">
        <v>1044456</v>
      </c>
      <c r="H92" s="223">
        <v>504670.47</v>
      </c>
      <c r="I92" s="213"/>
      <c r="J92" s="217"/>
      <c r="K92" s="217"/>
      <c r="L92" s="221">
        <f t="shared" si="25"/>
        <v>539785.53</v>
      </c>
      <c r="M92" s="221">
        <f t="shared" si="21"/>
        <v>487932.87</v>
      </c>
      <c r="N92" s="221">
        <v>16737.599999999999</v>
      </c>
      <c r="O92" s="221">
        <v>0</v>
      </c>
      <c r="P92" s="195">
        <f t="shared" si="22"/>
        <v>0</v>
      </c>
      <c r="Q92" s="184"/>
      <c r="S92" s="184" t="s">
        <v>249</v>
      </c>
      <c r="T92" s="184" t="s">
        <v>606</v>
      </c>
      <c r="U92" s="367" t="s">
        <v>607</v>
      </c>
      <c r="V92" s="184" t="s">
        <v>84</v>
      </c>
      <c r="W92" s="184" t="s">
        <v>21</v>
      </c>
      <c r="X92" s="297">
        <f t="shared" si="23"/>
        <v>504670.47</v>
      </c>
      <c r="Y92" s="297">
        <f t="shared" si="24"/>
        <v>539785.53</v>
      </c>
      <c r="Z92" s="184" t="s">
        <v>211</v>
      </c>
    </row>
    <row r="93" spans="1:26" x14ac:dyDescent="0.25">
      <c r="A93" s="184"/>
      <c r="B93" s="184" t="s">
        <v>212</v>
      </c>
      <c r="C93" s="212">
        <v>453076</v>
      </c>
      <c r="D93" s="213"/>
      <c r="E93" s="213"/>
      <c r="F93" s="214"/>
      <c r="G93" s="222">
        <v>453076</v>
      </c>
      <c r="H93" s="223">
        <v>77122.069999999992</v>
      </c>
      <c r="I93" s="213"/>
      <c r="J93" s="217"/>
      <c r="K93" s="217"/>
      <c r="L93" s="221">
        <f t="shared" si="25"/>
        <v>375953.93</v>
      </c>
      <c r="M93" s="221">
        <f t="shared" si="21"/>
        <v>77122.069999999992</v>
      </c>
      <c r="N93" s="221">
        <v>0</v>
      </c>
      <c r="O93" s="221">
        <v>0</v>
      </c>
      <c r="P93" s="195">
        <f t="shared" si="22"/>
        <v>0</v>
      </c>
      <c r="Q93" s="184"/>
      <c r="S93" s="184" t="s">
        <v>249</v>
      </c>
      <c r="T93" s="184" t="s">
        <v>606</v>
      </c>
      <c r="U93" s="367" t="s">
        <v>607</v>
      </c>
      <c r="V93" s="184" t="s">
        <v>84</v>
      </c>
      <c r="W93" s="184" t="s">
        <v>22</v>
      </c>
      <c r="X93" s="297">
        <f t="shared" si="23"/>
        <v>77122.069999999992</v>
      </c>
      <c r="Y93" s="297">
        <f t="shared" si="24"/>
        <v>375953.93</v>
      </c>
      <c r="Z93" s="184" t="s">
        <v>212</v>
      </c>
    </row>
    <row r="94" spans="1:26" x14ac:dyDescent="0.25">
      <c r="A94" s="184"/>
      <c r="B94" s="184"/>
      <c r="C94" s="212"/>
      <c r="D94" s="213"/>
      <c r="E94" s="213"/>
      <c r="F94" s="214"/>
      <c r="G94" s="215"/>
      <c r="H94" s="216"/>
      <c r="I94" s="213"/>
      <c r="J94" s="217"/>
      <c r="K94" s="217"/>
      <c r="L94" s="213"/>
      <c r="M94" s="213"/>
      <c r="N94" s="213"/>
      <c r="O94" s="213"/>
      <c r="P94" s="184"/>
      <c r="Q94" s="184"/>
    </row>
    <row r="95" spans="1:26" ht="13.8" thickBot="1" x14ac:dyDescent="0.3">
      <c r="A95" s="184"/>
      <c r="B95" s="227" t="s">
        <v>238</v>
      </c>
      <c r="C95" s="228">
        <f t="shared" ref="C95:I95" si="26">SUM(C79:C94)</f>
        <v>32000000</v>
      </c>
      <c r="D95" s="228">
        <f t="shared" si="26"/>
        <v>0</v>
      </c>
      <c r="E95" s="228">
        <f t="shared" si="26"/>
        <v>0</v>
      </c>
      <c r="F95" s="228">
        <f t="shared" si="26"/>
        <v>11547597.57</v>
      </c>
      <c r="G95" s="228">
        <f t="shared" si="26"/>
        <v>20452402.429999996</v>
      </c>
      <c r="H95" s="228">
        <f t="shared" si="26"/>
        <v>6353365.1799999997</v>
      </c>
      <c r="I95" s="228">
        <f t="shared" si="26"/>
        <v>0</v>
      </c>
      <c r="J95" s="228">
        <f t="shared" ref="J95:O95" si="27">SUM(J79:J94)</f>
        <v>0</v>
      </c>
      <c r="K95" s="228">
        <f t="shared" si="27"/>
        <v>0</v>
      </c>
      <c r="L95" s="228">
        <f t="shared" si="27"/>
        <v>14099037.249999998</v>
      </c>
      <c r="M95" s="228">
        <f t="shared" si="27"/>
        <v>3030480.2599999993</v>
      </c>
      <c r="N95" s="228">
        <f t="shared" si="27"/>
        <v>1946073.1199999999</v>
      </c>
      <c r="O95" s="228">
        <f t="shared" si="27"/>
        <v>1376811.8</v>
      </c>
      <c r="P95" s="195">
        <f>C95+D95+E95-F95-G95</f>
        <v>0</v>
      </c>
      <c r="Q95" s="184"/>
      <c r="W95" s="224"/>
      <c r="X95" s="184"/>
      <c r="Y95" s="184"/>
    </row>
    <row r="96" spans="1:26" ht="13.8" thickTop="1" x14ac:dyDescent="0.25">
      <c r="A96" s="184"/>
      <c r="B96" s="184"/>
      <c r="C96" s="212"/>
      <c r="D96" s="213"/>
      <c r="E96" s="213"/>
      <c r="F96" s="214"/>
      <c r="G96" s="215"/>
      <c r="H96" s="216"/>
      <c r="I96" s="213"/>
      <c r="J96" s="217"/>
      <c r="K96" s="217"/>
      <c r="L96" s="213"/>
      <c r="M96" s="213"/>
      <c r="N96" s="213"/>
      <c r="O96" s="213"/>
      <c r="P96" s="184"/>
      <c r="Q96" s="184"/>
    </row>
    <row r="97" spans="1:29" x14ac:dyDescent="0.25">
      <c r="A97" s="224" t="s">
        <v>239</v>
      </c>
      <c r="B97" s="184"/>
      <c r="C97" s="212"/>
      <c r="D97" s="213"/>
      <c r="E97" s="213"/>
      <c r="F97" s="187"/>
      <c r="G97" s="222"/>
      <c r="H97" s="223"/>
      <c r="I97" s="222"/>
      <c r="J97" s="222"/>
      <c r="K97" s="222"/>
      <c r="L97" s="221"/>
      <c r="M97" s="221"/>
      <c r="N97" s="221"/>
      <c r="O97" s="221"/>
      <c r="P97" s="184"/>
      <c r="Q97" s="184"/>
    </row>
    <row r="98" spans="1:29" x14ac:dyDescent="0.25">
      <c r="A98" s="184"/>
      <c r="B98" s="184" t="s">
        <v>240</v>
      </c>
      <c r="C98" s="212">
        <v>5000000</v>
      </c>
      <c r="D98" s="213"/>
      <c r="E98" s="213"/>
      <c r="F98" s="221">
        <f>3442.39+202638.55+926670.4</f>
        <v>1132751.3400000001</v>
      </c>
      <c r="G98" s="222">
        <v>3867248.6600000006</v>
      </c>
      <c r="H98" s="223">
        <v>1058687.83</v>
      </c>
      <c r="I98" s="221">
        <f>[5]UMES!I203</f>
        <v>0</v>
      </c>
      <c r="J98" s="226">
        <f>[5]UMES!J203</f>
        <v>0</v>
      </c>
      <c r="K98" s="226">
        <f>[5]UMES!K203</f>
        <v>0</v>
      </c>
      <c r="L98" s="221">
        <f>G98-H98-I98-J98-K98</f>
        <v>2808560.8300000005</v>
      </c>
      <c r="M98" s="221">
        <f>H98-N98-O98</f>
        <v>342221.83000000007</v>
      </c>
      <c r="N98" s="221">
        <v>716466</v>
      </c>
      <c r="O98" s="221">
        <v>0</v>
      </c>
      <c r="P98" s="195">
        <f t="shared" ref="P98:P117" si="28">C98+D98+E98-F98-G98</f>
        <v>0</v>
      </c>
      <c r="Q98" s="184" t="s">
        <v>200</v>
      </c>
      <c r="S98" s="184" t="s">
        <v>249</v>
      </c>
      <c r="T98" s="184" t="s">
        <v>249</v>
      </c>
      <c r="U98" s="184">
        <v>20</v>
      </c>
      <c r="V98" s="184" t="s">
        <v>54</v>
      </c>
      <c r="W98" s="184" t="s">
        <v>14</v>
      </c>
      <c r="X98" s="297">
        <f t="shared" ref="X98:X117" si="29">H98</f>
        <v>1058687.83</v>
      </c>
      <c r="Y98" s="297">
        <f t="shared" ref="Y98:Y117" si="30">L98</f>
        <v>2808560.8300000005</v>
      </c>
      <c r="Z98" s="184" t="s">
        <v>240</v>
      </c>
    </row>
    <row r="99" spans="1:29" x14ac:dyDescent="0.25">
      <c r="A99" s="184"/>
      <c r="B99" s="184" t="s">
        <v>236</v>
      </c>
      <c r="C99" s="212">
        <v>1008000</v>
      </c>
      <c r="D99" s="213"/>
      <c r="E99" s="213"/>
      <c r="F99" s="221">
        <f>51347.72+344271.58+612380.7</f>
        <v>1008000</v>
      </c>
      <c r="G99" s="222">
        <v>0</v>
      </c>
      <c r="H99" s="223">
        <v>0</v>
      </c>
      <c r="I99" s="221">
        <f>[5]UMES!I184</f>
        <v>0</v>
      </c>
      <c r="J99" s="226">
        <f>[5]UMES!J184</f>
        <v>0</v>
      </c>
      <c r="K99" s="226">
        <f>[5]UMES!K184</f>
        <v>0</v>
      </c>
      <c r="L99" s="221">
        <f t="shared" ref="L99:L117" si="31">G99-H99-I99-J99-K99</f>
        <v>0</v>
      </c>
      <c r="M99" s="221">
        <f>H99-N99-O99</f>
        <v>0</v>
      </c>
      <c r="N99" s="221">
        <v>0</v>
      </c>
      <c r="O99" s="221">
        <v>0</v>
      </c>
      <c r="P99" s="195">
        <f t="shared" si="28"/>
        <v>0</v>
      </c>
      <c r="Q99" s="184" t="s">
        <v>200</v>
      </c>
      <c r="S99" s="184" t="s">
        <v>249</v>
      </c>
      <c r="T99" s="184" t="s">
        <v>249</v>
      </c>
      <c r="U99" s="184">
        <v>20</v>
      </c>
      <c r="V99" s="184" t="s">
        <v>54</v>
      </c>
      <c r="W99" s="184" t="s">
        <v>14</v>
      </c>
      <c r="X99" s="297">
        <f t="shared" si="29"/>
        <v>0</v>
      </c>
      <c r="Y99" s="297">
        <f t="shared" si="30"/>
        <v>0</v>
      </c>
      <c r="Z99" s="184" t="s">
        <v>236</v>
      </c>
    </row>
    <row r="100" spans="1:29" x14ac:dyDescent="0.25">
      <c r="A100" s="184"/>
      <c r="B100" s="184" t="s">
        <v>241</v>
      </c>
      <c r="C100" s="212">
        <v>2346000</v>
      </c>
      <c r="D100" s="213"/>
      <c r="E100" s="213"/>
      <c r="F100" s="221">
        <f>146449.9+2199550.1</f>
        <v>2346000</v>
      </c>
      <c r="G100" s="222">
        <v>0</v>
      </c>
      <c r="H100" s="223">
        <v>0</v>
      </c>
      <c r="I100" s="221">
        <f>[5]UMBC!I136</f>
        <v>0</v>
      </c>
      <c r="J100" s="226">
        <f>[5]UMBC!J136</f>
        <v>0</v>
      </c>
      <c r="K100" s="226">
        <f>[5]UMBC!K136</f>
        <v>0</v>
      </c>
      <c r="L100" s="221">
        <f t="shared" si="31"/>
        <v>0</v>
      </c>
      <c r="M100" s="221">
        <f>H100-N100-O100</f>
        <v>0</v>
      </c>
      <c r="N100" s="221">
        <v>0</v>
      </c>
      <c r="O100" s="221">
        <v>0</v>
      </c>
      <c r="P100" s="195">
        <f t="shared" si="28"/>
        <v>0</v>
      </c>
      <c r="Q100" s="184" t="s">
        <v>200</v>
      </c>
      <c r="S100" s="184" t="s">
        <v>249</v>
      </c>
      <c r="T100" s="184" t="s">
        <v>249</v>
      </c>
      <c r="U100" s="184">
        <v>20</v>
      </c>
      <c r="V100" s="184" t="s">
        <v>54</v>
      </c>
      <c r="W100" s="184" t="s">
        <v>15</v>
      </c>
      <c r="X100" s="297">
        <f t="shared" si="29"/>
        <v>0</v>
      </c>
      <c r="Y100" s="297">
        <f t="shared" si="30"/>
        <v>0</v>
      </c>
      <c r="Z100" s="184" t="s">
        <v>241</v>
      </c>
    </row>
    <row r="101" spans="1:29" x14ac:dyDescent="0.25">
      <c r="A101" s="184"/>
      <c r="B101" s="184" t="s">
        <v>242</v>
      </c>
      <c r="C101" s="212">
        <v>5000000</v>
      </c>
      <c r="D101" s="213"/>
      <c r="E101" s="213"/>
      <c r="F101" s="221">
        <f>1180.17+2012908.63+2985911.2</f>
        <v>5000000</v>
      </c>
      <c r="G101" s="222">
        <v>0</v>
      </c>
      <c r="H101" s="223">
        <v>0</v>
      </c>
      <c r="I101" s="221">
        <f>'[5]USM &amp; COI'!I114</f>
        <v>0</v>
      </c>
      <c r="J101" s="226">
        <f>'[5]USM &amp; COI'!J114</f>
        <v>0</v>
      </c>
      <c r="K101" s="226">
        <f>'[5]USM &amp; COI'!K114</f>
        <v>0</v>
      </c>
      <c r="L101" s="221">
        <f t="shared" si="31"/>
        <v>0</v>
      </c>
      <c r="M101" s="221">
        <f>H101-N101-O101</f>
        <v>0</v>
      </c>
      <c r="N101" s="221">
        <v>0</v>
      </c>
      <c r="O101" s="221">
        <v>0</v>
      </c>
      <c r="P101" s="195">
        <f t="shared" si="28"/>
        <v>0</v>
      </c>
      <c r="Q101" s="184" t="s">
        <v>200</v>
      </c>
      <c r="S101" s="184" t="s">
        <v>249</v>
      </c>
      <c r="T101" s="184" t="s">
        <v>249</v>
      </c>
      <c r="U101" s="184">
        <v>20</v>
      </c>
      <c r="V101" s="184" t="s">
        <v>54</v>
      </c>
      <c r="W101" s="184" t="s">
        <v>56</v>
      </c>
      <c r="X101" s="297">
        <f t="shared" si="29"/>
        <v>0</v>
      </c>
      <c r="Y101" s="297">
        <f t="shared" si="30"/>
        <v>0</v>
      </c>
      <c r="Z101" s="184" t="s">
        <v>242</v>
      </c>
    </row>
    <row r="102" spans="1:29" x14ac:dyDescent="0.25">
      <c r="A102" s="184"/>
      <c r="B102" s="184" t="s">
        <v>243</v>
      </c>
      <c r="C102" s="212">
        <v>2000000</v>
      </c>
      <c r="D102" s="213"/>
      <c r="E102" s="213"/>
      <c r="F102" s="221">
        <f>2000000</f>
        <v>2000000</v>
      </c>
      <c r="G102" s="222">
        <v>0</v>
      </c>
      <c r="H102" s="223">
        <v>0</v>
      </c>
      <c r="I102" s="221">
        <v>0</v>
      </c>
      <c r="J102" s="226">
        <v>0</v>
      </c>
      <c r="K102" s="226">
        <v>0</v>
      </c>
      <c r="L102" s="221">
        <f t="shared" si="31"/>
        <v>0</v>
      </c>
      <c r="M102" s="221">
        <f>H102-N102-O102</f>
        <v>0</v>
      </c>
      <c r="N102" s="221">
        <v>0</v>
      </c>
      <c r="O102" s="221">
        <v>0</v>
      </c>
      <c r="P102" s="195">
        <f t="shared" si="28"/>
        <v>0</v>
      </c>
      <c r="Q102" s="184" t="s">
        <v>200</v>
      </c>
      <c r="S102" s="184" t="s">
        <v>249</v>
      </c>
      <c r="T102" s="184" t="s">
        <v>249</v>
      </c>
      <c r="U102" s="184">
        <v>20</v>
      </c>
      <c r="V102" s="184" t="s">
        <v>54</v>
      </c>
      <c r="W102" s="184" t="s">
        <v>21</v>
      </c>
      <c r="X102" s="297">
        <f t="shared" si="29"/>
        <v>0</v>
      </c>
      <c r="Y102" s="297">
        <f t="shared" si="30"/>
        <v>0</v>
      </c>
      <c r="Z102" s="184" t="s">
        <v>243</v>
      </c>
    </row>
    <row r="103" spans="1:29" x14ac:dyDescent="0.25">
      <c r="A103" s="184"/>
      <c r="B103" s="224" t="s">
        <v>201</v>
      </c>
      <c r="C103" s="212"/>
      <c r="D103" s="213"/>
      <c r="E103" s="213"/>
      <c r="F103" s="221"/>
      <c r="G103" s="222"/>
      <c r="H103" s="223"/>
      <c r="I103" s="221"/>
      <c r="J103" s="226"/>
      <c r="K103" s="226"/>
      <c r="L103" s="221"/>
      <c r="M103" s="221"/>
      <c r="N103" s="221"/>
      <c r="O103" s="221"/>
      <c r="P103" s="195">
        <f t="shared" si="28"/>
        <v>0</v>
      </c>
      <c r="Q103" s="184"/>
      <c r="W103" s="224"/>
      <c r="X103" s="297">
        <f t="shared" si="29"/>
        <v>0</v>
      </c>
      <c r="Y103" s="297">
        <f t="shared" si="30"/>
        <v>0</v>
      </c>
      <c r="Z103" s="224"/>
    </row>
    <row r="104" spans="1:29" x14ac:dyDescent="0.25">
      <c r="A104" s="184"/>
      <c r="B104" s="184" t="s">
        <v>202</v>
      </c>
      <c r="C104" s="212">
        <v>7300000</v>
      </c>
      <c r="D104" s="213"/>
      <c r="E104" s="213"/>
      <c r="F104" s="221">
        <f>194905.04+7105094.96</f>
        <v>7300000</v>
      </c>
      <c r="G104" s="222">
        <v>0</v>
      </c>
      <c r="H104" s="223">
        <v>0</v>
      </c>
      <c r="I104" s="221">
        <f>[5]UMCP!I162</f>
        <v>0</v>
      </c>
      <c r="J104" s="226">
        <f>[5]UMCP!J162</f>
        <v>0</v>
      </c>
      <c r="K104" s="226">
        <f>[5]UMCP!K162</f>
        <v>0</v>
      </c>
      <c r="L104" s="221">
        <f t="shared" si="31"/>
        <v>0</v>
      </c>
      <c r="M104" s="221">
        <f t="shared" ref="M104:M117" si="32">H104-N104-O104</f>
        <v>0</v>
      </c>
      <c r="N104" s="221">
        <v>0</v>
      </c>
      <c r="O104" s="221">
        <v>0</v>
      </c>
      <c r="P104" s="195">
        <f t="shared" si="28"/>
        <v>0</v>
      </c>
      <c r="Q104" s="184"/>
      <c r="S104" s="184" t="s">
        <v>249</v>
      </c>
      <c r="T104" s="184" t="s">
        <v>606</v>
      </c>
      <c r="U104" s="367" t="s">
        <v>607</v>
      </c>
      <c r="V104" s="184" t="s">
        <v>54</v>
      </c>
      <c r="W104" s="184" t="s">
        <v>11</v>
      </c>
      <c r="X104" s="297">
        <f t="shared" si="29"/>
        <v>0</v>
      </c>
      <c r="Y104" s="297">
        <f t="shared" si="30"/>
        <v>0</v>
      </c>
      <c r="Z104" s="184" t="s">
        <v>202</v>
      </c>
    </row>
    <row r="105" spans="1:29" x14ac:dyDescent="0.25">
      <c r="A105" s="184"/>
      <c r="B105" s="184" t="s">
        <v>203</v>
      </c>
      <c r="C105" s="212">
        <v>2675000</v>
      </c>
      <c r="D105" s="213"/>
      <c r="E105" s="213"/>
      <c r="F105" s="221">
        <f>431549.85+72768.56+10256.2</f>
        <v>514574.61</v>
      </c>
      <c r="G105" s="222">
        <v>2160425.39</v>
      </c>
      <c r="H105" s="223">
        <v>2086618.8499999996</v>
      </c>
      <c r="I105" s="221">
        <f>[5]UMB!I176</f>
        <v>0</v>
      </c>
      <c r="J105" s="226">
        <f>[5]UMB!J176</f>
        <v>0</v>
      </c>
      <c r="K105" s="226">
        <f>[5]UMB!K176</f>
        <v>0</v>
      </c>
      <c r="L105" s="221">
        <f t="shared" si="31"/>
        <v>73806.540000000503</v>
      </c>
      <c r="M105" s="221">
        <f t="shared" si="32"/>
        <v>967219.99999999965</v>
      </c>
      <c r="N105" s="221">
        <v>135937.27000000014</v>
      </c>
      <c r="O105" s="221">
        <v>983461.58</v>
      </c>
      <c r="P105" s="195">
        <f t="shared" si="28"/>
        <v>0</v>
      </c>
      <c r="Q105" s="184"/>
      <c r="S105" s="184" t="s">
        <v>249</v>
      </c>
      <c r="T105" s="184" t="s">
        <v>606</v>
      </c>
      <c r="U105" s="367" t="s">
        <v>607</v>
      </c>
      <c r="V105" s="184" t="s">
        <v>54</v>
      </c>
      <c r="W105" s="184" t="s">
        <v>12</v>
      </c>
      <c r="X105" s="297">
        <f t="shared" si="29"/>
        <v>2086618.8499999996</v>
      </c>
      <c r="Y105" s="297">
        <f t="shared" si="30"/>
        <v>73806.540000000503</v>
      </c>
      <c r="Z105" s="184" t="s">
        <v>203</v>
      </c>
    </row>
    <row r="106" spans="1:29" x14ac:dyDescent="0.25">
      <c r="A106" s="184"/>
      <c r="B106" s="184" t="s">
        <v>204</v>
      </c>
      <c r="C106" s="212">
        <v>642000</v>
      </c>
      <c r="D106" s="213"/>
      <c r="E106" s="213"/>
      <c r="F106" s="221">
        <f>550000+89800</f>
        <v>639800</v>
      </c>
      <c r="G106" s="222">
        <v>2200</v>
      </c>
      <c r="H106" s="223">
        <v>0</v>
      </c>
      <c r="I106" s="221">
        <f>[5]UMES!I95</f>
        <v>0</v>
      </c>
      <c r="J106" s="226">
        <f>[5]UMES!J95</f>
        <v>0</v>
      </c>
      <c r="K106" s="226">
        <f>[5]UMES!K95</f>
        <v>0</v>
      </c>
      <c r="L106" s="221">
        <f t="shared" si="31"/>
        <v>2200</v>
      </c>
      <c r="M106" s="221">
        <f t="shared" si="32"/>
        <v>0</v>
      </c>
      <c r="N106" s="221">
        <v>0</v>
      </c>
      <c r="O106" s="221">
        <v>0</v>
      </c>
      <c r="P106" s="195">
        <f t="shared" si="28"/>
        <v>0</v>
      </c>
      <c r="Q106" s="184"/>
      <c r="S106" s="184" t="s">
        <v>249</v>
      </c>
      <c r="T106" s="184" t="s">
        <v>606</v>
      </c>
      <c r="U106" s="367" t="s">
        <v>607</v>
      </c>
      <c r="V106" s="184" t="s">
        <v>54</v>
      </c>
      <c r="W106" s="184" t="s">
        <v>14</v>
      </c>
      <c r="X106" s="297">
        <f t="shared" si="29"/>
        <v>0</v>
      </c>
      <c r="Y106" s="297">
        <f t="shared" si="30"/>
        <v>2200</v>
      </c>
      <c r="Z106" s="184" t="s">
        <v>204</v>
      </c>
    </row>
    <row r="107" spans="1:29" x14ac:dyDescent="0.25">
      <c r="A107" s="184"/>
      <c r="B107" s="184" t="s">
        <v>205</v>
      </c>
      <c r="C107" s="212">
        <v>1452000</v>
      </c>
      <c r="D107" s="213"/>
      <c r="E107" s="213"/>
      <c r="F107" s="221">
        <f>75864.25</f>
        <v>75864.25</v>
      </c>
      <c r="G107" s="222">
        <v>1376135.75</v>
      </c>
      <c r="H107" s="223">
        <v>276281.5</v>
      </c>
      <c r="I107" s="221">
        <f>[5]UMBC!I89</f>
        <v>0</v>
      </c>
      <c r="J107" s="226">
        <f>[5]UMBC!J89</f>
        <v>0</v>
      </c>
      <c r="K107" s="226">
        <f>[5]UMBC!K89</f>
        <v>0</v>
      </c>
      <c r="L107" s="221">
        <f t="shared" si="31"/>
        <v>1099854.25</v>
      </c>
      <c r="M107" s="221">
        <f t="shared" si="32"/>
        <v>141775.07</v>
      </c>
      <c r="N107" s="221">
        <v>79381.630000000019</v>
      </c>
      <c r="O107" s="221">
        <v>55124.800000000003</v>
      </c>
      <c r="P107" s="195">
        <f t="shared" si="28"/>
        <v>0</v>
      </c>
      <c r="Q107" s="184"/>
      <c r="S107" s="184" t="s">
        <v>249</v>
      </c>
      <c r="T107" s="184" t="s">
        <v>606</v>
      </c>
      <c r="U107" s="367" t="s">
        <v>607</v>
      </c>
      <c r="V107" s="184" t="s">
        <v>54</v>
      </c>
      <c r="W107" s="184" t="s">
        <v>15</v>
      </c>
      <c r="X107" s="297">
        <f t="shared" si="29"/>
        <v>276281.5</v>
      </c>
      <c r="Y107" s="297">
        <f t="shared" si="30"/>
        <v>1099854.25</v>
      </c>
      <c r="Z107" s="184" t="s">
        <v>205</v>
      </c>
    </row>
    <row r="108" spans="1:29" x14ac:dyDescent="0.25">
      <c r="A108" s="184"/>
      <c r="B108" s="184" t="s">
        <v>206</v>
      </c>
      <c r="C108" s="212">
        <v>317000</v>
      </c>
      <c r="D108" s="213"/>
      <c r="E108" s="213"/>
      <c r="F108" s="221">
        <f>317000</f>
        <v>317000</v>
      </c>
      <c r="G108" s="222">
        <v>0</v>
      </c>
      <c r="H108" s="223">
        <v>0</v>
      </c>
      <c r="I108" s="221">
        <v>0</v>
      </c>
      <c r="J108" s="226">
        <v>0</v>
      </c>
      <c r="K108" s="226">
        <v>0</v>
      </c>
      <c r="L108" s="221">
        <f t="shared" si="31"/>
        <v>0</v>
      </c>
      <c r="M108" s="221">
        <f t="shared" si="32"/>
        <v>0</v>
      </c>
      <c r="N108" s="221">
        <v>0</v>
      </c>
      <c r="O108" s="221">
        <v>0</v>
      </c>
      <c r="P108" s="195">
        <f t="shared" si="28"/>
        <v>0</v>
      </c>
      <c r="Q108" s="184"/>
      <c r="S108" s="184" t="s">
        <v>249</v>
      </c>
      <c r="T108" s="184" t="s">
        <v>606</v>
      </c>
      <c r="U108" s="367" t="s">
        <v>607</v>
      </c>
      <c r="V108" s="184" t="s">
        <v>54</v>
      </c>
      <c r="W108" s="184" t="s">
        <v>16</v>
      </c>
      <c r="X108" s="297">
        <f t="shared" si="29"/>
        <v>0</v>
      </c>
      <c r="Y108" s="297">
        <f t="shared" si="30"/>
        <v>0</v>
      </c>
      <c r="Z108" s="184" t="s">
        <v>206</v>
      </c>
    </row>
    <row r="109" spans="1:29" x14ac:dyDescent="0.25">
      <c r="A109" s="234"/>
      <c r="B109" s="234" t="s">
        <v>207</v>
      </c>
      <c r="C109" s="235">
        <v>554000</v>
      </c>
      <c r="D109" s="236"/>
      <c r="E109" s="236"/>
      <c r="F109" s="237">
        <f>385023.91+8523.63</f>
        <v>393547.54</v>
      </c>
      <c r="G109" s="238">
        <v>160452.45999999996</v>
      </c>
      <c r="H109" s="238">
        <v>160452.46</v>
      </c>
      <c r="I109" s="237">
        <f>[5]BSU!I64</f>
        <v>0</v>
      </c>
      <c r="J109" s="239">
        <f>[5]BSU!J64</f>
        <v>0</v>
      </c>
      <c r="K109" s="239">
        <f>[5]BSU!K64</f>
        <v>0</v>
      </c>
      <c r="L109" s="237">
        <f t="shared" si="31"/>
        <v>-2.9103830456733704E-11</v>
      </c>
      <c r="M109" s="237">
        <f t="shared" si="32"/>
        <v>0</v>
      </c>
      <c r="N109" s="237">
        <v>160452.46</v>
      </c>
      <c r="O109" s="237">
        <v>0</v>
      </c>
      <c r="P109" s="244">
        <f t="shared" si="28"/>
        <v>0</v>
      </c>
      <c r="Q109" s="234"/>
      <c r="S109" s="184" t="s">
        <v>249</v>
      </c>
      <c r="T109" s="184" t="s">
        <v>606</v>
      </c>
      <c r="U109" s="367" t="s">
        <v>607</v>
      </c>
      <c r="V109" s="184" t="s">
        <v>54</v>
      </c>
      <c r="W109" s="234" t="s">
        <v>17</v>
      </c>
      <c r="X109" s="297">
        <f t="shared" si="29"/>
        <v>160452.46</v>
      </c>
      <c r="Y109" s="297">
        <f t="shared" si="30"/>
        <v>-2.9103830456733704E-11</v>
      </c>
      <c r="Z109" s="234" t="s">
        <v>207</v>
      </c>
      <c r="AA109" s="234"/>
      <c r="AB109" s="234"/>
      <c r="AC109" s="234"/>
    </row>
    <row r="110" spans="1:29" x14ac:dyDescent="0.25">
      <c r="A110" s="184"/>
      <c r="B110" s="184" t="s">
        <v>208</v>
      </c>
      <c r="C110" s="212">
        <v>309000</v>
      </c>
      <c r="D110" s="213"/>
      <c r="E110" s="213"/>
      <c r="F110" s="221">
        <f>309000</f>
        <v>309000</v>
      </c>
      <c r="G110" s="222">
        <v>0</v>
      </c>
      <c r="H110" s="223">
        <v>0</v>
      </c>
      <c r="I110" s="221">
        <f>[5]CSU!I59</f>
        <v>0</v>
      </c>
      <c r="J110" s="226">
        <f>[5]CSU!J59</f>
        <v>0</v>
      </c>
      <c r="K110" s="226">
        <f>[5]CSU!K59</f>
        <v>0</v>
      </c>
      <c r="L110" s="221">
        <f t="shared" si="31"/>
        <v>0</v>
      </c>
      <c r="M110" s="221">
        <f t="shared" si="32"/>
        <v>0</v>
      </c>
      <c r="N110" s="221">
        <v>0</v>
      </c>
      <c r="O110" s="221">
        <v>0</v>
      </c>
      <c r="P110" s="195">
        <f t="shared" si="28"/>
        <v>0</v>
      </c>
      <c r="Q110" s="184"/>
      <c r="S110" s="184" t="s">
        <v>249</v>
      </c>
      <c r="T110" s="184" t="s">
        <v>606</v>
      </c>
      <c r="U110" s="367" t="s">
        <v>607</v>
      </c>
      <c r="V110" s="184" t="s">
        <v>54</v>
      </c>
      <c r="W110" s="184" t="s">
        <v>18</v>
      </c>
      <c r="X110" s="297">
        <f t="shared" si="29"/>
        <v>0</v>
      </c>
      <c r="Y110" s="297">
        <f t="shared" si="30"/>
        <v>0</v>
      </c>
      <c r="Z110" s="184" t="s">
        <v>208</v>
      </c>
    </row>
    <row r="111" spans="1:29" x14ac:dyDescent="0.25">
      <c r="A111" s="184"/>
      <c r="B111" s="184" t="s">
        <v>209</v>
      </c>
      <c r="C111" s="212">
        <v>645000</v>
      </c>
      <c r="D111" s="213"/>
      <c r="E111" s="213"/>
      <c r="F111" s="221">
        <f>36199.86+216461.22+179395.12</f>
        <v>432056.2</v>
      </c>
      <c r="G111" s="222">
        <v>212943.80000000005</v>
      </c>
      <c r="H111" s="223">
        <v>212943.8</v>
      </c>
      <c r="I111" s="221">
        <f>[5]FSU!I114</f>
        <v>0</v>
      </c>
      <c r="J111" s="226">
        <f>[5]FSU!J114</f>
        <v>0</v>
      </c>
      <c r="K111" s="226">
        <f>[5]FSU!K114</f>
        <v>0</v>
      </c>
      <c r="L111" s="221">
        <f t="shared" si="31"/>
        <v>5.8207660913467407E-11</v>
      </c>
      <c r="M111" s="221">
        <f t="shared" si="32"/>
        <v>0</v>
      </c>
      <c r="N111" s="221">
        <v>0</v>
      </c>
      <c r="O111" s="221">
        <v>212943.8</v>
      </c>
      <c r="P111" s="195">
        <f t="shared" si="28"/>
        <v>0</v>
      </c>
      <c r="Q111" s="184"/>
      <c r="S111" s="184" t="s">
        <v>249</v>
      </c>
      <c r="T111" s="184" t="s">
        <v>606</v>
      </c>
      <c r="U111" s="367" t="s">
        <v>607</v>
      </c>
      <c r="V111" s="184" t="s">
        <v>54</v>
      </c>
      <c r="W111" s="184" t="s">
        <v>19</v>
      </c>
      <c r="X111" s="297">
        <f t="shared" si="29"/>
        <v>212943.8</v>
      </c>
      <c r="Y111" s="297">
        <f t="shared" si="30"/>
        <v>5.8207660913467407E-11</v>
      </c>
      <c r="Z111" s="184" t="s">
        <v>209</v>
      </c>
    </row>
    <row r="112" spans="1:29" x14ac:dyDescent="0.25">
      <c r="A112" s="184"/>
      <c r="B112" s="184" t="s">
        <v>226</v>
      </c>
      <c r="C112" s="212">
        <v>536000</v>
      </c>
      <c r="D112" s="213"/>
      <c r="E112" s="213"/>
      <c r="F112" s="221">
        <f>49413.17+486586.83</f>
        <v>536000</v>
      </c>
      <c r="G112" s="222">
        <v>0</v>
      </c>
      <c r="H112" s="223">
        <v>0</v>
      </c>
      <c r="I112" s="221">
        <f>[5]SU!I62</f>
        <v>0</v>
      </c>
      <c r="J112" s="226">
        <f>[5]SU!J62</f>
        <v>0</v>
      </c>
      <c r="K112" s="226">
        <f>[5]SU!K62</f>
        <v>0</v>
      </c>
      <c r="L112" s="221">
        <f t="shared" si="31"/>
        <v>0</v>
      </c>
      <c r="M112" s="221">
        <f t="shared" si="32"/>
        <v>0</v>
      </c>
      <c r="N112" s="221">
        <v>0</v>
      </c>
      <c r="O112" s="221">
        <v>0</v>
      </c>
      <c r="P112" s="195">
        <f t="shared" si="28"/>
        <v>0</v>
      </c>
      <c r="Q112" s="184"/>
      <c r="S112" s="184" t="s">
        <v>249</v>
      </c>
      <c r="T112" s="184" t="s">
        <v>606</v>
      </c>
      <c r="U112" s="367" t="s">
        <v>607</v>
      </c>
      <c r="V112" s="184" t="s">
        <v>54</v>
      </c>
      <c r="W112" s="184" t="s">
        <v>20</v>
      </c>
      <c r="X112" s="297">
        <f t="shared" si="29"/>
        <v>0</v>
      </c>
      <c r="Y112" s="297">
        <f t="shared" si="30"/>
        <v>0</v>
      </c>
      <c r="Z112" s="184" t="s">
        <v>226</v>
      </c>
    </row>
    <row r="113" spans="1:29" x14ac:dyDescent="0.25">
      <c r="A113" s="184"/>
      <c r="B113" s="184" t="s">
        <v>211</v>
      </c>
      <c r="C113" s="212">
        <f>525000+575000+489000</f>
        <v>1589000</v>
      </c>
      <c r="D113" s="213"/>
      <c r="E113" s="213"/>
      <c r="F113" s="221">
        <f>360938.78+43732.93</f>
        <v>404671.71</v>
      </c>
      <c r="G113" s="222">
        <v>1184328.29</v>
      </c>
      <c r="H113" s="223">
        <v>1180075.1099999999</v>
      </c>
      <c r="I113" s="221">
        <f>[5]TU!I101+[5]TU!I117+[5]TU!I129</f>
        <v>0</v>
      </c>
      <c r="J113" s="226">
        <f>[5]TU!J101+[5]TU!J117+[5]TU!J129</f>
        <v>0</v>
      </c>
      <c r="K113" s="226">
        <f>[5]TU!K101+[5]TU!K117+[5]TU!K129</f>
        <v>0</v>
      </c>
      <c r="L113" s="221">
        <f t="shared" si="31"/>
        <v>4253.1800000001676</v>
      </c>
      <c r="M113" s="221">
        <f t="shared" si="32"/>
        <v>534094.31999999983</v>
      </c>
      <c r="N113" s="221">
        <v>474747.43000000005</v>
      </c>
      <c r="O113" s="221">
        <v>171233.36</v>
      </c>
      <c r="P113" s="195">
        <f t="shared" si="28"/>
        <v>0</v>
      </c>
      <c r="Q113" s="184"/>
      <c r="S113" s="184" t="s">
        <v>249</v>
      </c>
      <c r="T113" s="184" t="s">
        <v>606</v>
      </c>
      <c r="U113" s="367" t="s">
        <v>607</v>
      </c>
      <c r="V113" s="184" t="s">
        <v>54</v>
      </c>
      <c r="W113" s="184" t="s">
        <v>21</v>
      </c>
      <c r="X113" s="297">
        <f t="shared" si="29"/>
        <v>1180075.1099999999</v>
      </c>
      <c r="Y113" s="297">
        <f t="shared" si="30"/>
        <v>4253.1800000001676</v>
      </c>
      <c r="Z113" s="184" t="s">
        <v>211</v>
      </c>
    </row>
    <row r="114" spans="1:29" x14ac:dyDescent="0.25">
      <c r="A114" s="234"/>
      <c r="B114" s="234" t="s">
        <v>212</v>
      </c>
      <c r="C114" s="235">
        <v>418000</v>
      </c>
      <c r="D114" s="236"/>
      <c r="E114" s="236"/>
      <c r="F114" s="237">
        <f>157585.77+164124.54+19900+15132.35+4208.6</f>
        <v>360951.25999999995</v>
      </c>
      <c r="G114" s="238">
        <v>57048.739999999991</v>
      </c>
      <c r="H114" s="245">
        <v>42434.860000000008</v>
      </c>
      <c r="I114" s="237">
        <f>[5]UBalt!I90</f>
        <v>0</v>
      </c>
      <c r="J114" s="239">
        <f>[5]UBalt!J90</f>
        <v>0</v>
      </c>
      <c r="K114" s="239">
        <f>[5]UBalt!K90</f>
        <v>0</v>
      </c>
      <c r="L114" s="237">
        <f t="shared" si="31"/>
        <v>14613.879999999983</v>
      </c>
      <c r="M114" s="237">
        <f t="shared" si="32"/>
        <v>5025.760000000002</v>
      </c>
      <c r="N114" s="237">
        <v>10436.270000000004</v>
      </c>
      <c r="O114" s="237">
        <v>26972.83</v>
      </c>
      <c r="P114" s="244">
        <f t="shared" si="28"/>
        <v>5.8207660913467407E-11</v>
      </c>
      <c r="Q114" s="234"/>
      <c r="S114" s="184" t="s">
        <v>249</v>
      </c>
      <c r="T114" s="184" t="s">
        <v>606</v>
      </c>
      <c r="U114" s="367" t="s">
        <v>607</v>
      </c>
      <c r="V114" s="184" t="s">
        <v>54</v>
      </c>
      <c r="W114" s="234" t="s">
        <v>22</v>
      </c>
      <c r="X114" s="297">
        <f t="shared" si="29"/>
        <v>42434.860000000008</v>
      </c>
      <c r="Y114" s="297">
        <f t="shared" si="30"/>
        <v>14613.879999999983</v>
      </c>
      <c r="Z114" s="234" t="s">
        <v>212</v>
      </c>
      <c r="AA114" s="234"/>
      <c r="AB114" s="234"/>
      <c r="AC114" s="234"/>
    </row>
    <row r="115" spans="1:29" x14ac:dyDescent="0.25">
      <c r="A115" s="184"/>
      <c r="B115" s="224" t="s">
        <v>216</v>
      </c>
      <c r="C115" s="212">
        <v>2209000</v>
      </c>
      <c r="D115" s="184"/>
      <c r="E115" s="221">
        <f>955.58+30+236864.83+43817.68+38000+113000+563000+287627.14-24627.14-1400000-1520000</f>
        <v>-1661331.91</v>
      </c>
      <c r="F115" s="221"/>
      <c r="G115" s="222">
        <v>547668.09000000032</v>
      </c>
      <c r="H115" s="223"/>
      <c r="I115" s="221"/>
      <c r="J115" s="226"/>
      <c r="K115" s="226"/>
      <c r="L115" s="221">
        <f t="shared" si="31"/>
        <v>547668.09000000032</v>
      </c>
      <c r="M115" s="221">
        <f t="shared" si="32"/>
        <v>0</v>
      </c>
      <c r="N115" s="221"/>
      <c r="O115" s="221"/>
      <c r="P115" s="195">
        <f t="shared" si="28"/>
        <v>0</v>
      </c>
      <c r="Q115" s="184"/>
      <c r="S115" s="184" t="s">
        <v>249</v>
      </c>
      <c r="T115" s="184" t="s">
        <v>606</v>
      </c>
      <c r="U115" s="367" t="s">
        <v>607</v>
      </c>
      <c r="V115" s="184" t="s">
        <v>54</v>
      </c>
      <c r="W115" s="224" t="s">
        <v>56</v>
      </c>
      <c r="X115" s="297">
        <f t="shared" si="29"/>
        <v>0</v>
      </c>
      <c r="Y115" s="297">
        <f t="shared" si="30"/>
        <v>547668.09000000032</v>
      </c>
      <c r="Z115" s="224" t="s">
        <v>216</v>
      </c>
    </row>
    <row r="116" spans="1:29" x14ac:dyDescent="0.25">
      <c r="A116" s="184"/>
      <c r="B116" s="184" t="s">
        <v>244</v>
      </c>
      <c r="C116" s="212"/>
      <c r="D116" s="184"/>
      <c r="E116" s="221">
        <v>1400000</v>
      </c>
      <c r="F116" s="221">
        <f>301683.5+1098316.5</f>
        <v>1400000</v>
      </c>
      <c r="G116" s="222">
        <v>0</v>
      </c>
      <c r="H116" s="223">
        <v>0</v>
      </c>
      <c r="I116" s="221"/>
      <c r="J116" s="226"/>
      <c r="K116" s="226"/>
      <c r="L116" s="221">
        <f t="shared" si="31"/>
        <v>0</v>
      </c>
      <c r="M116" s="221">
        <f t="shared" si="32"/>
        <v>0</v>
      </c>
      <c r="N116" s="221">
        <v>0</v>
      </c>
      <c r="O116" s="221">
        <v>0</v>
      </c>
      <c r="P116" s="195">
        <f t="shared" si="28"/>
        <v>0</v>
      </c>
      <c r="Q116" s="184"/>
      <c r="S116" s="184" t="s">
        <v>249</v>
      </c>
      <c r="T116" s="184" t="s">
        <v>606</v>
      </c>
      <c r="U116" s="367" t="s">
        <v>607</v>
      </c>
      <c r="V116" s="184" t="s">
        <v>54</v>
      </c>
      <c r="W116" s="184" t="s">
        <v>14</v>
      </c>
      <c r="X116" s="297">
        <f t="shared" si="29"/>
        <v>0</v>
      </c>
      <c r="Y116" s="297">
        <f t="shared" si="30"/>
        <v>0</v>
      </c>
      <c r="Z116" s="184" t="s">
        <v>244</v>
      </c>
    </row>
    <row r="117" spans="1:29" x14ac:dyDescent="0.25">
      <c r="A117" s="184"/>
      <c r="B117" s="184" t="s">
        <v>245</v>
      </c>
      <c r="C117" s="212"/>
      <c r="D117" s="184"/>
      <c r="E117" s="221">
        <v>1520000</v>
      </c>
      <c r="F117" s="221">
        <f>145740.07</f>
        <v>145740.07</v>
      </c>
      <c r="G117" s="222">
        <v>1374259.93</v>
      </c>
      <c r="H117" s="223">
        <v>1374259.93</v>
      </c>
      <c r="I117" s="221"/>
      <c r="J117" s="226"/>
      <c r="K117" s="226">
        <f>'[5]USM &amp; COI'!K49</f>
        <v>0</v>
      </c>
      <c r="L117" s="221">
        <f t="shared" si="31"/>
        <v>0</v>
      </c>
      <c r="M117" s="221">
        <f t="shared" si="32"/>
        <v>0</v>
      </c>
      <c r="N117" s="221">
        <v>744416.44</v>
      </c>
      <c r="O117" s="221">
        <v>629843.49</v>
      </c>
      <c r="P117" s="195">
        <f t="shared" si="28"/>
        <v>0</v>
      </c>
      <c r="Q117" s="184"/>
      <c r="S117" s="184" t="s">
        <v>249</v>
      </c>
      <c r="T117" s="184" t="s">
        <v>606</v>
      </c>
      <c r="U117" s="367" t="s">
        <v>607</v>
      </c>
      <c r="V117" s="184" t="s">
        <v>54</v>
      </c>
      <c r="W117" s="184" t="s">
        <v>608</v>
      </c>
      <c r="X117" s="297">
        <f t="shared" si="29"/>
        <v>1374259.93</v>
      </c>
      <c r="Y117" s="297">
        <f t="shared" si="30"/>
        <v>0</v>
      </c>
      <c r="Z117" s="184" t="s">
        <v>245</v>
      </c>
    </row>
    <row r="118" spans="1:29" x14ac:dyDescent="0.25">
      <c r="A118" s="184"/>
      <c r="B118" s="224"/>
      <c r="C118" s="212"/>
      <c r="D118" s="213"/>
      <c r="E118" s="213"/>
      <c r="F118" s="221"/>
      <c r="G118" s="222"/>
      <c r="H118" s="223"/>
      <c r="I118" s="221"/>
      <c r="J118" s="226"/>
      <c r="K118" s="226"/>
      <c r="L118" s="221"/>
      <c r="M118" s="221"/>
      <c r="N118" s="221"/>
      <c r="O118" s="221"/>
      <c r="P118" s="184"/>
      <c r="Q118" s="184"/>
      <c r="W118" s="224"/>
      <c r="Z118" s="224"/>
    </row>
    <row r="119" spans="1:29" ht="13.8" thickBot="1" x14ac:dyDescent="0.3">
      <c r="A119" s="184"/>
      <c r="B119" s="227" t="s">
        <v>246</v>
      </c>
      <c r="C119" s="228">
        <f>SUM(C98:C118)</f>
        <v>34000000</v>
      </c>
      <c r="D119" s="228">
        <f t="shared" ref="D119:O119" si="33">SUM(D98:D118)</f>
        <v>0</v>
      </c>
      <c r="E119" s="228">
        <f t="shared" si="33"/>
        <v>1258668.0900000001</v>
      </c>
      <c r="F119" s="228">
        <f>SUM(F98:F118)</f>
        <v>24315956.98</v>
      </c>
      <c r="G119" s="228">
        <f t="shared" si="33"/>
        <v>10942711.110000001</v>
      </c>
      <c r="H119" s="228">
        <f>SUM(H98:H118)</f>
        <v>6391754.3399999989</v>
      </c>
      <c r="I119" s="228">
        <f t="shared" si="33"/>
        <v>0</v>
      </c>
      <c r="J119" s="228">
        <f t="shared" si="33"/>
        <v>0</v>
      </c>
      <c r="K119" s="228">
        <f t="shared" si="33"/>
        <v>0</v>
      </c>
      <c r="L119" s="228">
        <f t="shared" si="33"/>
        <v>4550956.7700000014</v>
      </c>
      <c r="M119" s="228">
        <f t="shared" si="33"/>
        <v>1990336.9799999995</v>
      </c>
      <c r="N119" s="228">
        <f t="shared" si="33"/>
        <v>2321837.5</v>
      </c>
      <c r="O119" s="228">
        <f t="shared" si="33"/>
        <v>2079579.86</v>
      </c>
      <c r="P119" s="195">
        <f>C119+D119+E119-F119-G119</f>
        <v>0</v>
      </c>
      <c r="Q119" s="184"/>
      <c r="W119" s="224"/>
      <c r="X119" s="184"/>
      <c r="Y119" s="184"/>
    </row>
    <row r="120" spans="1:29" ht="13.8" thickTop="1" x14ac:dyDescent="0.25">
      <c r="A120" s="184"/>
      <c r="B120" s="224"/>
      <c r="C120" s="212"/>
      <c r="D120" s="213"/>
      <c r="E120" s="213"/>
      <c r="F120" s="221"/>
      <c r="G120" s="222"/>
      <c r="H120" s="223"/>
      <c r="I120" s="221"/>
      <c r="J120" s="226"/>
      <c r="K120" s="226"/>
      <c r="L120" s="221"/>
      <c r="M120" s="221"/>
      <c r="N120" s="221"/>
      <c r="O120" s="221"/>
      <c r="P120" s="184"/>
      <c r="Q120" s="184"/>
      <c r="W120" s="224"/>
      <c r="Z120" s="224"/>
    </row>
    <row r="121" spans="1:29" x14ac:dyDescent="0.25">
      <c r="A121" s="224" t="s">
        <v>247</v>
      </c>
      <c r="B121" s="184"/>
      <c r="C121" s="212"/>
      <c r="D121" s="213"/>
      <c r="E121" s="213"/>
      <c r="F121" s="246"/>
      <c r="G121" s="222"/>
      <c r="H121" s="223"/>
      <c r="I121" s="222"/>
      <c r="J121" s="222"/>
      <c r="K121" s="222"/>
      <c r="L121" s="221"/>
      <c r="M121" s="221"/>
      <c r="N121" s="221"/>
      <c r="O121" s="221"/>
      <c r="P121" s="184"/>
      <c r="Q121" s="184"/>
    </row>
    <row r="122" spans="1:29" x14ac:dyDescent="0.25">
      <c r="A122" s="184"/>
      <c r="B122" s="184" t="s">
        <v>248</v>
      </c>
      <c r="C122" s="212">
        <v>5000000</v>
      </c>
      <c r="D122" s="213"/>
      <c r="E122" s="213"/>
      <c r="F122" s="247">
        <f>1519594.09+758267.97+1278318.07</f>
        <v>3556180.13</v>
      </c>
      <c r="G122" s="222">
        <v>1443819.8700000003</v>
      </c>
      <c r="H122" s="223">
        <v>73368.990000000005</v>
      </c>
      <c r="I122" s="221">
        <f>[5]UMBC!I130</f>
        <v>0</v>
      </c>
      <c r="J122" s="226">
        <f>[5]UMBC!J130</f>
        <v>0</v>
      </c>
      <c r="K122" s="226">
        <f>[5]UMBC!K130</f>
        <v>0</v>
      </c>
      <c r="L122" s="221">
        <f>G122-H122-I122-J122-K122</f>
        <v>1370450.8800000004</v>
      </c>
      <c r="M122" s="221">
        <f t="shared" ref="M122:M141" si="34">H122-N122-O122</f>
        <v>70554.420000000013</v>
      </c>
      <c r="N122" s="221">
        <v>2814.5699999999997</v>
      </c>
      <c r="O122" s="221">
        <v>0</v>
      </c>
      <c r="P122" s="195">
        <f t="shared" ref="P122:P140" si="35">C122+D122+E122-F122-G122</f>
        <v>0</v>
      </c>
      <c r="Q122" s="184" t="s">
        <v>200</v>
      </c>
      <c r="S122" s="184" t="s">
        <v>249</v>
      </c>
      <c r="T122" s="184" t="s">
        <v>249</v>
      </c>
      <c r="U122" s="184">
        <v>20</v>
      </c>
      <c r="V122" s="184" t="s">
        <v>53</v>
      </c>
      <c r="W122" s="184" t="s">
        <v>15</v>
      </c>
      <c r="X122" s="297">
        <f t="shared" ref="X122:X141" si="36">H122</f>
        <v>73368.990000000005</v>
      </c>
      <c r="Y122" s="297">
        <f t="shared" ref="Y122:Y141" si="37">L122</f>
        <v>1370450.8800000004</v>
      </c>
      <c r="Z122" s="184" t="s">
        <v>248</v>
      </c>
    </row>
    <row r="123" spans="1:29" x14ac:dyDescent="0.25">
      <c r="A123" s="184"/>
      <c r="B123" s="184" t="s">
        <v>243</v>
      </c>
      <c r="C123" s="212">
        <v>2000000</v>
      </c>
      <c r="D123" s="213"/>
      <c r="E123" s="213"/>
      <c r="F123" s="222">
        <f>2000000</f>
        <v>2000000</v>
      </c>
      <c r="G123" s="222">
        <v>0</v>
      </c>
      <c r="H123" s="223">
        <v>0</v>
      </c>
      <c r="I123" s="221">
        <v>0</v>
      </c>
      <c r="J123" s="226">
        <v>0</v>
      </c>
      <c r="K123" s="226">
        <v>0</v>
      </c>
      <c r="L123" s="221">
        <f>G123-H123-I123-J123-K123</f>
        <v>0</v>
      </c>
      <c r="M123" s="221">
        <f t="shared" si="34"/>
        <v>0</v>
      </c>
      <c r="N123" s="221">
        <v>0</v>
      </c>
      <c r="O123" s="221">
        <v>0</v>
      </c>
      <c r="P123" s="195">
        <f t="shared" si="35"/>
        <v>0</v>
      </c>
      <c r="Q123" s="184"/>
      <c r="S123" s="184" t="s">
        <v>249</v>
      </c>
      <c r="T123" s="184" t="s">
        <v>249</v>
      </c>
      <c r="U123" s="184">
        <v>20</v>
      </c>
      <c r="V123" s="184" t="s">
        <v>53</v>
      </c>
      <c r="W123" s="184" t="s">
        <v>21</v>
      </c>
      <c r="X123" s="297">
        <f t="shared" si="36"/>
        <v>0</v>
      </c>
      <c r="Y123" s="297">
        <f t="shared" si="37"/>
        <v>0</v>
      </c>
      <c r="Z123" s="184" t="s">
        <v>243</v>
      </c>
    </row>
    <row r="124" spans="1:29" x14ac:dyDescent="0.25">
      <c r="A124" s="184"/>
      <c r="B124" s="224" t="s">
        <v>201</v>
      </c>
      <c r="C124" s="212"/>
      <c r="D124" s="213"/>
      <c r="E124" s="213"/>
      <c r="F124" s="222"/>
      <c r="G124" s="222"/>
      <c r="H124" s="223"/>
      <c r="I124" s="221"/>
      <c r="J124" s="226"/>
      <c r="K124" s="226"/>
      <c r="L124" s="221"/>
      <c r="M124" s="221"/>
      <c r="N124" s="221"/>
      <c r="O124" s="221"/>
      <c r="P124" s="195">
        <f t="shared" si="35"/>
        <v>0</v>
      </c>
      <c r="Q124" s="184"/>
      <c r="W124" s="224"/>
      <c r="X124" s="297">
        <f t="shared" si="36"/>
        <v>0</v>
      </c>
      <c r="Y124" s="297">
        <f t="shared" si="37"/>
        <v>0</v>
      </c>
      <c r="Z124" s="224"/>
    </row>
    <row r="125" spans="1:29" x14ac:dyDescent="0.25">
      <c r="A125" s="184"/>
      <c r="B125" s="184" t="s">
        <v>202</v>
      </c>
      <c r="C125" s="212">
        <v>7300000</v>
      </c>
      <c r="D125" s="213"/>
      <c r="E125" s="213"/>
      <c r="F125" s="222">
        <f>7300000</f>
        <v>7300000</v>
      </c>
      <c r="G125" s="222">
        <v>0</v>
      </c>
      <c r="H125" s="223">
        <v>0</v>
      </c>
      <c r="I125" s="221">
        <v>0</v>
      </c>
      <c r="J125" s="226">
        <v>0</v>
      </c>
      <c r="K125" s="226">
        <v>0</v>
      </c>
      <c r="L125" s="221">
        <f>G125-H125-I125-J125-K125</f>
        <v>0</v>
      </c>
      <c r="M125" s="221">
        <f t="shared" si="34"/>
        <v>0</v>
      </c>
      <c r="N125" s="221">
        <v>0</v>
      </c>
      <c r="O125" s="221">
        <v>0</v>
      </c>
      <c r="P125" s="195">
        <f t="shared" si="35"/>
        <v>0</v>
      </c>
      <c r="Q125" s="184"/>
      <c r="S125" s="184" t="s">
        <v>249</v>
      </c>
      <c r="T125" s="184" t="s">
        <v>606</v>
      </c>
      <c r="U125" s="367" t="s">
        <v>607</v>
      </c>
      <c r="V125" s="184" t="s">
        <v>53</v>
      </c>
      <c r="W125" s="184" t="s">
        <v>11</v>
      </c>
      <c r="X125" s="297">
        <f t="shared" si="36"/>
        <v>0</v>
      </c>
      <c r="Y125" s="297">
        <f t="shared" si="37"/>
        <v>0</v>
      </c>
      <c r="Z125" s="184" t="s">
        <v>202</v>
      </c>
    </row>
    <row r="126" spans="1:29" x14ac:dyDescent="0.25">
      <c r="A126" s="184"/>
      <c r="B126" s="184" t="s">
        <v>203</v>
      </c>
      <c r="C126" s="212">
        <v>2675000</v>
      </c>
      <c r="D126" s="213"/>
      <c r="E126" s="213"/>
      <c r="F126" s="221">
        <f>13390+405590.39+429133.23</f>
        <v>848113.62</v>
      </c>
      <c r="G126" s="222">
        <v>1826886.38</v>
      </c>
      <c r="H126" s="223">
        <v>1026172.55</v>
      </c>
      <c r="I126" s="221">
        <f>[5]UMB!I199</f>
        <v>0</v>
      </c>
      <c r="J126" s="226">
        <f>[5]UMB!J199</f>
        <v>0</v>
      </c>
      <c r="K126" s="226">
        <f>[5]UMB!K199</f>
        <v>0</v>
      </c>
      <c r="L126" s="221">
        <f t="shared" ref="L126:L141" si="38">G126-H126-I126-J126-K126</f>
        <v>800713.82999999984</v>
      </c>
      <c r="M126" s="221">
        <f t="shared" si="34"/>
        <v>19821.059999999939</v>
      </c>
      <c r="N126" s="221">
        <v>202099.75000000012</v>
      </c>
      <c r="O126" s="221">
        <v>804251.74</v>
      </c>
      <c r="P126" s="195">
        <f t="shared" si="35"/>
        <v>0</v>
      </c>
      <c r="Q126" s="184"/>
      <c r="S126" s="184" t="s">
        <v>249</v>
      </c>
      <c r="T126" s="184" t="s">
        <v>606</v>
      </c>
      <c r="U126" s="367" t="s">
        <v>607</v>
      </c>
      <c r="V126" s="184" t="s">
        <v>53</v>
      </c>
      <c r="W126" s="184" t="s">
        <v>12</v>
      </c>
      <c r="X126" s="297">
        <f t="shared" si="36"/>
        <v>1026172.55</v>
      </c>
      <c r="Y126" s="297">
        <f t="shared" si="37"/>
        <v>800713.82999999984</v>
      </c>
      <c r="Z126" s="184" t="s">
        <v>203</v>
      </c>
    </row>
    <row r="127" spans="1:29" x14ac:dyDescent="0.25">
      <c r="A127" s="184"/>
      <c r="B127" s="184" t="s">
        <v>204</v>
      </c>
      <c r="C127" s="212">
        <v>642000</v>
      </c>
      <c r="D127" s="213"/>
      <c r="E127" s="213"/>
      <c r="F127" s="221">
        <v>832.28</v>
      </c>
      <c r="G127" s="222">
        <v>641167.72</v>
      </c>
      <c r="H127" s="223">
        <v>519500.06000000011</v>
      </c>
      <c r="I127" s="221">
        <f>[5]UMES!I118</f>
        <v>0</v>
      </c>
      <c r="J127" s="226">
        <f>[5]UMES!J118</f>
        <v>0</v>
      </c>
      <c r="K127" s="226">
        <f>[5]UMES!K118</f>
        <v>0</v>
      </c>
      <c r="L127" s="221">
        <f t="shared" si="38"/>
        <v>121667.65999999986</v>
      </c>
      <c r="M127" s="221">
        <f t="shared" si="34"/>
        <v>39843.630000000005</v>
      </c>
      <c r="N127" s="221">
        <v>479656.43000000011</v>
      </c>
      <c r="O127" s="221">
        <v>0</v>
      </c>
      <c r="P127" s="195">
        <f t="shared" si="35"/>
        <v>0</v>
      </c>
      <c r="Q127" s="184"/>
      <c r="S127" s="184" t="s">
        <v>249</v>
      </c>
      <c r="T127" s="184" t="s">
        <v>606</v>
      </c>
      <c r="U127" s="367" t="s">
        <v>607</v>
      </c>
      <c r="V127" s="184" t="s">
        <v>53</v>
      </c>
      <c r="W127" s="184" t="s">
        <v>14</v>
      </c>
      <c r="X127" s="297">
        <f t="shared" si="36"/>
        <v>519500.06000000011</v>
      </c>
      <c r="Y127" s="297">
        <f t="shared" si="37"/>
        <v>121667.65999999986</v>
      </c>
      <c r="Z127" s="184" t="s">
        <v>204</v>
      </c>
    </row>
    <row r="128" spans="1:29" x14ac:dyDescent="0.25">
      <c r="A128" s="184"/>
      <c r="B128" s="184" t="s">
        <v>205</v>
      </c>
      <c r="C128" s="212">
        <v>1452000</v>
      </c>
      <c r="D128" s="213"/>
      <c r="E128" s="213"/>
      <c r="F128" s="221">
        <f>340834.58+54036.14+38394.56</f>
        <v>433265.28</v>
      </c>
      <c r="G128" s="222">
        <v>1018734.72</v>
      </c>
      <c r="H128" s="223">
        <v>1014521.1499999999</v>
      </c>
      <c r="I128" s="221">
        <f>[5]UMBC!I118</f>
        <v>0</v>
      </c>
      <c r="J128" s="226">
        <f>[5]UMBC!J118</f>
        <v>0</v>
      </c>
      <c r="K128" s="226">
        <f>[5]UMBC!K118</f>
        <v>0</v>
      </c>
      <c r="L128" s="221">
        <f t="shared" si="38"/>
        <v>4213.5700000000652</v>
      </c>
      <c r="M128" s="221">
        <f t="shared" si="34"/>
        <v>859298.32</v>
      </c>
      <c r="N128" s="221">
        <v>118919.48999999999</v>
      </c>
      <c r="O128" s="221">
        <v>36303.339999999997</v>
      </c>
      <c r="P128" s="195">
        <f t="shared" si="35"/>
        <v>0</v>
      </c>
      <c r="Q128" s="184"/>
      <c r="S128" s="184" t="s">
        <v>249</v>
      </c>
      <c r="T128" s="184" t="s">
        <v>606</v>
      </c>
      <c r="U128" s="367" t="s">
        <v>607</v>
      </c>
      <c r="V128" s="184" t="s">
        <v>53</v>
      </c>
      <c r="W128" s="184" t="s">
        <v>15</v>
      </c>
      <c r="X128" s="297">
        <f t="shared" si="36"/>
        <v>1014521.1499999999</v>
      </c>
      <c r="Y128" s="297">
        <f t="shared" si="37"/>
        <v>4213.5700000000652</v>
      </c>
      <c r="Z128" s="184" t="s">
        <v>205</v>
      </c>
    </row>
    <row r="129" spans="1:26" x14ac:dyDescent="0.25">
      <c r="A129" s="184"/>
      <c r="B129" s="184" t="s">
        <v>206</v>
      </c>
      <c r="C129" s="212">
        <v>317000</v>
      </c>
      <c r="D129" s="213"/>
      <c r="E129" s="213"/>
      <c r="F129" s="221">
        <v>317000</v>
      </c>
      <c r="G129" s="222">
        <v>0</v>
      </c>
      <c r="H129" s="223">
        <v>0</v>
      </c>
      <c r="I129" s="221">
        <v>0</v>
      </c>
      <c r="J129" s="226">
        <v>0</v>
      </c>
      <c r="K129" s="226">
        <v>0</v>
      </c>
      <c r="L129" s="221">
        <f t="shared" si="38"/>
        <v>0</v>
      </c>
      <c r="M129" s="221">
        <f t="shared" si="34"/>
        <v>0</v>
      </c>
      <c r="N129" s="221">
        <v>0</v>
      </c>
      <c r="O129" s="221">
        <v>0</v>
      </c>
      <c r="P129" s="195">
        <f t="shared" si="35"/>
        <v>0</v>
      </c>
      <c r="Q129" s="184"/>
      <c r="S129" s="184" t="s">
        <v>249</v>
      </c>
      <c r="T129" s="184" t="s">
        <v>606</v>
      </c>
      <c r="U129" s="367" t="s">
        <v>607</v>
      </c>
      <c r="V129" s="184" t="s">
        <v>53</v>
      </c>
      <c r="W129" s="184" t="s">
        <v>16</v>
      </c>
      <c r="X129" s="297">
        <f t="shared" si="36"/>
        <v>0</v>
      </c>
      <c r="Y129" s="297">
        <f t="shared" si="37"/>
        <v>0</v>
      </c>
      <c r="Z129" s="184" t="s">
        <v>206</v>
      </c>
    </row>
    <row r="130" spans="1:26" x14ac:dyDescent="0.25">
      <c r="A130" s="184"/>
      <c r="B130" s="184" t="s">
        <v>207</v>
      </c>
      <c r="C130" s="212">
        <v>554000</v>
      </c>
      <c r="D130" s="213"/>
      <c r="E130" s="213"/>
      <c r="F130" s="221">
        <f>144688.18+409311.82</f>
        <v>554000</v>
      </c>
      <c r="G130" s="222">
        <v>0</v>
      </c>
      <c r="H130" s="223">
        <v>0</v>
      </c>
      <c r="I130" s="221">
        <v>0</v>
      </c>
      <c r="J130" s="226">
        <v>0</v>
      </c>
      <c r="K130" s="226">
        <v>0</v>
      </c>
      <c r="L130" s="221">
        <f t="shared" si="38"/>
        <v>0</v>
      </c>
      <c r="M130" s="221">
        <f t="shared" si="34"/>
        <v>0</v>
      </c>
      <c r="N130" s="221">
        <v>0</v>
      </c>
      <c r="O130" s="221">
        <v>0</v>
      </c>
      <c r="P130" s="195">
        <f t="shared" si="35"/>
        <v>0</v>
      </c>
      <c r="Q130" s="184"/>
      <c r="S130" s="184" t="s">
        <v>249</v>
      </c>
      <c r="T130" s="184" t="s">
        <v>606</v>
      </c>
      <c r="U130" s="367" t="s">
        <v>607</v>
      </c>
      <c r="V130" s="184" t="s">
        <v>53</v>
      </c>
      <c r="W130" s="184" t="s">
        <v>17</v>
      </c>
      <c r="X130" s="297">
        <f t="shared" si="36"/>
        <v>0</v>
      </c>
      <c r="Y130" s="297">
        <f t="shared" si="37"/>
        <v>0</v>
      </c>
      <c r="Z130" s="184" t="s">
        <v>207</v>
      </c>
    </row>
    <row r="131" spans="1:26" x14ac:dyDescent="0.25">
      <c r="A131" s="184"/>
      <c r="B131" s="184" t="s">
        <v>208</v>
      </c>
      <c r="C131" s="212">
        <v>654000</v>
      </c>
      <c r="D131" s="213"/>
      <c r="E131" s="213"/>
      <c r="F131" s="221">
        <f>405006.46+248993.54</f>
        <v>654000</v>
      </c>
      <c r="G131" s="222">
        <v>0</v>
      </c>
      <c r="H131" s="223">
        <v>0</v>
      </c>
      <c r="I131" s="221">
        <f>[5]CSU!I69</f>
        <v>0</v>
      </c>
      <c r="J131" s="226">
        <f>[5]CSU!J69</f>
        <v>0</v>
      </c>
      <c r="K131" s="226">
        <f>[5]CSU!K69</f>
        <v>0</v>
      </c>
      <c r="L131" s="221">
        <f t="shared" si="38"/>
        <v>0</v>
      </c>
      <c r="M131" s="221">
        <f t="shared" si="34"/>
        <v>0</v>
      </c>
      <c r="N131" s="221">
        <v>0</v>
      </c>
      <c r="O131" s="221">
        <v>0</v>
      </c>
      <c r="P131" s="195">
        <f t="shared" si="35"/>
        <v>0</v>
      </c>
      <c r="Q131" s="184"/>
      <c r="S131" s="184" t="s">
        <v>249</v>
      </c>
      <c r="T131" s="184" t="s">
        <v>606</v>
      </c>
      <c r="U131" s="367" t="s">
        <v>607</v>
      </c>
      <c r="V131" s="184" t="s">
        <v>53</v>
      </c>
      <c r="W131" s="184" t="s">
        <v>18</v>
      </c>
      <c r="X131" s="297">
        <f t="shared" si="36"/>
        <v>0</v>
      </c>
      <c r="Y131" s="297">
        <f t="shared" si="37"/>
        <v>0</v>
      </c>
      <c r="Z131" s="184" t="s">
        <v>208</v>
      </c>
    </row>
    <row r="132" spans="1:26" x14ac:dyDescent="0.25">
      <c r="A132" s="184"/>
      <c r="B132" s="184" t="s">
        <v>209</v>
      </c>
      <c r="C132" s="212">
        <v>400000</v>
      </c>
      <c r="D132" s="213"/>
      <c r="E132" s="213"/>
      <c r="F132" s="221">
        <f>96350+239419.19</f>
        <v>335769.19</v>
      </c>
      <c r="G132" s="222">
        <v>64230.809999999969</v>
      </c>
      <c r="H132" s="223">
        <v>64230.810000000005</v>
      </c>
      <c r="I132" s="221">
        <f>[5]FSU!I127</f>
        <v>0</v>
      </c>
      <c r="J132" s="226">
        <f>[5]FSU!J127</f>
        <v>0</v>
      </c>
      <c r="K132" s="226">
        <f>[5]FSU!K127</f>
        <v>0</v>
      </c>
      <c r="L132" s="221">
        <f t="shared" si="38"/>
        <v>-3.637978807091713E-11</v>
      </c>
      <c r="M132" s="221">
        <f t="shared" si="34"/>
        <v>0</v>
      </c>
      <c r="N132" s="221">
        <v>47239.340000000004</v>
      </c>
      <c r="O132" s="221">
        <v>16991.47</v>
      </c>
      <c r="P132" s="195">
        <f t="shared" si="35"/>
        <v>0</v>
      </c>
      <c r="Q132" s="184"/>
      <c r="S132" s="184" t="s">
        <v>249</v>
      </c>
      <c r="T132" s="184" t="s">
        <v>606</v>
      </c>
      <c r="U132" s="367" t="s">
        <v>607</v>
      </c>
      <c r="V132" s="184" t="s">
        <v>53</v>
      </c>
      <c r="W132" s="184" t="s">
        <v>19</v>
      </c>
      <c r="X132" s="297">
        <f t="shared" si="36"/>
        <v>64230.810000000005</v>
      </c>
      <c r="Y132" s="297">
        <f t="shared" si="37"/>
        <v>-3.637978807091713E-11</v>
      </c>
      <c r="Z132" s="184" t="s">
        <v>209</v>
      </c>
    </row>
    <row r="133" spans="1:26" x14ac:dyDescent="0.25">
      <c r="A133" s="184"/>
      <c r="B133" s="184" t="s">
        <v>226</v>
      </c>
      <c r="C133" s="212">
        <v>536000</v>
      </c>
      <c r="D133" s="213"/>
      <c r="E133" s="213"/>
      <c r="F133" s="221">
        <f>742.5+328152.75</f>
        <v>328895.25</v>
      </c>
      <c r="G133" s="222">
        <v>207104.75</v>
      </c>
      <c r="H133" s="223">
        <v>206747.25</v>
      </c>
      <c r="I133" s="221">
        <f>[5]SU!I73</f>
        <v>0</v>
      </c>
      <c r="J133" s="226">
        <f>[5]SU!J73</f>
        <v>0</v>
      </c>
      <c r="K133" s="226">
        <f>[5]SU!K73</f>
        <v>0</v>
      </c>
      <c r="L133" s="221">
        <f t="shared" si="38"/>
        <v>357.5</v>
      </c>
      <c r="M133" s="221">
        <f t="shared" si="34"/>
        <v>0</v>
      </c>
      <c r="N133" s="221">
        <v>204528</v>
      </c>
      <c r="O133" s="221">
        <v>2219.25</v>
      </c>
      <c r="P133" s="195">
        <f t="shared" si="35"/>
        <v>0</v>
      </c>
      <c r="Q133" s="184"/>
      <c r="S133" s="184" t="s">
        <v>249</v>
      </c>
      <c r="T133" s="184" t="s">
        <v>606</v>
      </c>
      <c r="U133" s="367" t="s">
        <v>607</v>
      </c>
      <c r="V133" s="184" t="s">
        <v>53</v>
      </c>
      <c r="W133" s="184" t="s">
        <v>20</v>
      </c>
      <c r="X133" s="297">
        <f t="shared" si="36"/>
        <v>206747.25</v>
      </c>
      <c r="Y133" s="297">
        <f t="shared" si="37"/>
        <v>357.5</v>
      </c>
      <c r="Z133" s="184" t="s">
        <v>226</v>
      </c>
    </row>
    <row r="134" spans="1:26" x14ac:dyDescent="0.25">
      <c r="A134" s="184"/>
      <c r="B134" s="184" t="s">
        <v>211</v>
      </c>
      <c r="C134" s="212">
        <v>1589000</v>
      </c>
      <c r="D134" s="213"/>
      <c r="E134" s="213"/>
      <c r="F134" s="221">
        <f>367011.51+207988.49+357268.33+489000</f>
        <v>1421268.33</v>
      </c>
      <c r="G134" s="222">
        <v>167731.66999999998</v>
      </c>
      <c r="H134" s="223">
        <v>167731.07</v>
      </c>
      <c r="I134" s="221">
        <f>[5]TU!I138+[5]TU!I151+[5]TU!I159</f>
        <v>0</v>
      </c>
      <c r="J134" s="226">
        <f>[5]TU!J138+[5]TU!J151+[5]TU!J159</f>
        <v>0</v>
      </c>
      <c r="K134" s="226">
        <f>[5]TU!K138+[5]TU!K151+[5]TU!K159</f>
        <v>0</v>
      </c>
      <c r="L134" s="221">
        <f t="shared" si="38"/>
        <v>0.59999999997671694</v>
      </c>
      <c r="M134" s="221">
        <f t="shared" si="34"/>
        <v>0</v>
      </c>
      <c r="N134" s="221">
        <v>122671.07</v>
      </c>
      <c r="O134" s="221">
        <v>45060</v>
      </c>
      <c r="P134" s="195">
        <f t="shared" si="35"/>
        <v>0</v>
      </c>
      <c r="Q134" s="184"/>
      <c r="S134" s="184" t="s">
        <v>249</v>
      </c>
      <c r="T134" s="184" t="s">
        <v>606</v>
      </c>
      <c r="U134" s="367" t="s">
        <v>607</v>
      </c>
      <c r="V134" s="184" t="s">
        <v>53</v>
      </c>
      <c r="W134" s="184" t="s">
        <v>21</v>
      </c>
      <c r="X134" s="297">
        <f t="shared" si="36"/>
        <v>167731.07</v>
      </c>
      <c r="Y134" s="297">
        <f t="shared" si="37"/>
        <v>0.59999999997671694</v>
      </c>
      <c r="Z134" s="184" t="s">
        <v>211</v>
      </c>
    </row>
    <row r="135" spans="1:26" x14ac:dyDescent="0.25">
      <c r="A135" s="184"/>
      <c r="B135" s="184" t="s">
        <v>212</v>
      </c>
      <c r="C135" s="212">
        <v>418000</v>
      </c>
      <c r="D135" s="213"/>
      <c r="E135" s="213"/>
      <c r="F135" s="221">
        <f>13371.5+295046.47+23808.8</f>
        <v>332226.76999999996</v>
      </c>
      <c r="G135" s="222">
        <v>85773.230000000025</v>
      </c>
      <c r="H135" s="223">
        <v>76509.91</v>
      </c>
      <c r="I135" s="221">
        <f>[5]UBalt!I107</f>
        <v>0</v>
      </c>
      <c r="J135" s="226">
        <f>[5]UBalt!J107</f>
        <v>0</v>
      </c>
      <c r="K135" s="226">
        <f>[5]UBalt!K107</f>
        <v>0</v>
      </c>
      <c r="L135" s="221">
        <f t="shared" si="38"/>
        <v>9263.3200000000215</v>
      </c>
      <c r="M135" s="221">
        <f t="shared" si="34"/>
        <v>76509.91</v>
      </c>
      <c r="N135" s="221">
        <v>0</v>
      </c>
      <c r="O135" s="221">
        <v>0</v>
      </c>
      <c r="P135" s="195">
        <f t="shared" si="35"/>
        <v>0</v>
      </c>
      <c r="Q135" s="184"/>
      <c r="S135" s="184" t="s">
        <v>249</v>
      </c>
      <c r="T135" s="184" t="s">
        <v>606</v>
      </c>
      <c r="U135" s="367" t="s">
        <v>607</v>
      </c>
      <c r="V135" s="184" t="s">
        <v>53</v>
      </c>
      <c r="W135" s="184" t="s">
        <v>22</v>
      </c>
      <c r="X135" s="297">
        <f t="shared" si="36"/>
        <v>76509.91</v>
      </c>
      <c r="Y135" s="297">
        <f t="shared" si="37"/>
        <v>9263.3200000000215</v>
      </c>
      <c r="Z135" s="184" t="s">
        <v>212</v>
      </c>
    </row>
    <row r="136" spans="1:26" x14ac:dyDescent="0.25">
      <c r="A136" s="184"/>
      <c r="B136" s="248" t="s">
        <v>216</v>
      </c>
      <c r="C136" s="212">
        <v>463000</v>
      </c>
      <c r="D136" s="194"/>
      <c r="E136" s="221">
        <f>8697.6+177641.14+50128.27+162025.87+2318.6+2348.4+847+80.78+16856.95+4079.92+81129.75+3352.47+311231.58-130000+5410.7+0.44+569.73+0.7-88000-200000-315000-228000</f>
        <v>-134280.10000000009</v>
      </c>
      <c r="F136" s="221"/>
      <c r="G136" s="222">
        <v>328719.89999999991</v>
      </c>
      <c r="H136" s="223">
        <v>0</v>
      </c>
      <c r="I136" s="221"/>
      <c r="J136" s="226"/>
      <c r="K136" s="226"/>
      <c r="L136" s="221">
        <f t="shared" si="38"/>
        <v>328719.89999999991</v>
      </c>
      <c r="M136" s="221">
        <f t="shared" si="34"/>
        <v>0</v>
      </c>
      <c r="N136" s="221">
        <v>0</v>
      </c>
      <c r="O136" s="221"/>
      <c r="P136" s="195">
        <f t="shared" si="35"/>
        <v>0</v>
      </c>
      <c r="Q136" s="184"/>
      <c r="S136" s="184" t="s">
        <v>249</v>
      </c>
      <c r="T136" s="184" t="s">
        <v>606</v>
      </c>
      <c r="U136" s="367" t="s">
        <v>607</v>
      </c>
      <c r="V136" s="184" t="s">
        <v>53</v>
      </c>
      <c r="W136" s="248" t="s">
        <v>56</v>
      </c>
      <c r="X136" s="297">
        <f t="shared" si="36"/>
        <v>0</v>
      </c>
      <c r="Y136" s="297">
        <f t="shared" si="37"/>
        <v>328719.89999999991</v>
      </c>
      <c r="Z136" s="248" t="s">
        <v>216</v>
      </c>
    </row>
    <row r="137" spans="1:26" x14ac:dyDescent="0.25">
      <c r="A137" s="184"/>
      <c r="B137" s="184" t="s">
        <v>251</v>
      </c>
      <c r="C137" s="212"/>
      <c r="D137" s="184"/>
      <c r="E137" s="221">
        <v>130000</v>
      </c>
      <c r="F137" s="221"/>
      <c r="G137" s="222">
        <v>130000</v>
      </c>
      <c r="H137" s="223">
        <v>0</v>
      </c>
      <c r="I137" s="221">
        <v>0</v>
      </c>
      <c r="J137" s="226">
        <f>[5]UMCP!J7</f>
        <v>0</v>
      </c>
      <c r="K137" s="226">
        <f>[5]UMCP!K7</f>
        <v>0</v>
      </c>
      <c r="L137" s="221">
        <f t="shared" si="38"/>
        <v>130000</v>
      </c>
      <c r="M137" s="221">
        <f t="shared" si="34"/>
        <v>0</v>
      </c>
      <c r="N137" s="221">
        <v>0</v>
      </c>
      <c r="O137" s="221">
        <v>0</v>
      </c>
      <c r="P137" s="195">
        <f t="shared" si="35"/>
        <v>0</v>
      </c>
      <c r="Q137" s="184"/>
      <c r="S137" s="184" t="s">
        <v>249</v>
      </c>
      <c r="T137" s="184" t="s">
        <v>606</v>
      </c>
      <c r="U137" s="367" t="s">
        <v>607</v>
      </c>
      <c r="V137" s="184" t="s">
        <v>53</v>
      </c>
      <c r="W137" s="184" t="s">
        <v>11</v>
      </c>
      <c r="X137" s="297">
        <f t="shared" si="36"/>
        <v>0</v>
      </c>
      <c r="Y137" s="297">
        <f t="shared" si="37"/>
        <v>130000</v>
      </c>
      <c r="Z137" s="184" t="s">
        <v>251</v>
      </c>
    </row>
    <row r="138" spans="1:26" x14ac:dyDescent="0.25">
      <c r="A138" s="184"/>
      <c r="B138" s="184" t="s">
        <v>252</v>
      </c>
      <c r="C138" s="212"/>
      <c r="D138" s="184"/>
      <c r="E138" s="221">
        <v>88000</v>
      </c>
      <c r="F138" s="221"/>
      <c r="G138" s="222">
        <v>88000</v>
      </c>
      <c r="H138" s="223">
        <v>0</v>
      </c>
      <c r="I138" s="221"/>
      <c r="J138" s="226"/>
      <c r="K138" s="226"/>
      <c r="L138" s="221">
        <f t="shared" si="38"/>
        <v>88000</v>
      </c>
      <c r="M138" s="221">
        <f t="shared" si="34"/>
        <v>0</v>
      </c>
      <c r="N138" s="221">
        <v>0</v>
      </c>
      <c r="O138" s="221">
        <v>0</v>
      </c>
      <c r="P138" s="195">
        <f t="shared" si="35"/>
        <v>0</v>
      </c>
      <c r="Q138" s="184"/>
      <c r="S138" s="184" t="s">
        <v>249</v>
      </c>
      <c r="T138" s="184" t="s">
        <v>606</v>
      </c>
      <c r="U138" s="367" t="s">
        <v>607</v>
      </c>
      <c r="V138" s="184" t="s">
        <v>53</v>
      </c>
      <c r="W138" s="184" t="s">
        <v>610</v>
      </c>
      <c r="X138" s="297">
        <f t="shared" si="36"/>
        <v>0</v>
      </c>
      <c r="Y138" s="297">
        <f t="shared" si="37"/>
        <v>88000</v>
      </c>
      <c r="Z138" s="184" t="s">
        <v>252</v>
      </c>
    </row>
    <row r="139" spans="1:26" x14ac:dyDescent="0.25">
      <c r="A139" s="184"/>
      <c r="B139" s="249" t="s">
        <v>253</v>
      </c>
      <c r="C139" s="212"/>
      <c r="D139" s="184"/>
      <c r="E139" s="221">
        <v>200000</v>
      </c>
      <c r="F139" s="221"/>
      <c r="G139" s="222">
        <v>200000</v>
      </c>
      <c r="H139" s="223">
        <v>200000</v>
      </c>
      <c r="I139" s="221"/>
      <c r="J139" s="226"/>
      <c r="K139" s="226"/>
      <c r="L139" s="221">
        <f t="shared" si="38"/>
        <v>0</v>
      </c>
      <c r="M139" s="221">
        <f t="shared" si="34"/>
        <v>200000</v>
      </c>
      <c r="N139" s="221">
        <v>0</v>
      </c>
      <c r="O139" s="221">
        <v>0</v>
      </c>
      <c r="P139" s="195">
        <f t="shared" si="35"/>
        <v>0</v>
      </c>
      <c r="Q139" s="184"/>
      <c r="S139" s="184" t="s">
        <v>249</v>
      </c>
      <c r="T139" s="184" t="s">
        <v>606</v>
      </c>
      <c r="U139" s="367" t="s">
        <v>607</v>
      </c>
      <c r="V139" s="184" t="s">
        <v>53</v>
      </c>
      <c r="W139" s="249" t="s">
        <v>14</v>
      </c>
      <c r="X139" s="297">
        <f t="shared" si="36"/>
        <v>200000</v>
      </c>
      <c r="Y139" s="297">
        <f t="shared" si="37"/>
        <v>0</v>
      </c>
      <c r="Z139" s="249" t="s">
        <v>253</v>
      </c>
    </row>
    <row r="140" spans="1:26" x14ac:dyDescent="0.25">
      <c r="A140" s="184"/>
      <c r="B140" s="249" t="s">
        <v>254</v>
      </c>
      <c r="C140" s="212"/>
      <c r="D140" s="184"/>
      <c r="E140" s="221">
        <v>315000</v>
      </c>
      <c r="F140" s="221"/>
      <c r="G140" s="222">
        <v>315000</v>
      </c>
      <c r="H140" s="223">
        <v>0</v>
      </c>
      <c r="I140" s="221"/>
      <c r="J140" s="226"/>
      <c r="K140" s="226"/>
      <c r="L140" s="221">
        <f t="shared" si="38"/>
        <v>315000</v>
      </c>
      <c r="M140" s="221">
        <f t="shared" si="34"/>
        <v>0</v>
      </c>
      <c r="N140" s="221">
        <v>0</v>
      </c>
      <c r="O140" s="221"/>
      <c r="P140" s="195">
        <f t="shared" si="35"/>
        <v>0</v>
      </c>
      <c r="Q140" s="184"/>
      <c r="S140" s="184" t="s">
        <v>249</v>
      </c>
      <c r="T140" s="184" t="s">
        <v>606</v>
      </c>
      <c r="U140" s="367" t="s">
        <v>607</v>
      </c>
      <c r="V140" s="184" t="s">
        <v>53</v>
      </c>
      <c r="W140" s="249" t="s">
        <v>608</v>
      </c>
      <c r="X140" s="297">
        <f t="shared" si="36"/>
        <v>0</v>
      </c>
      <c r="Y140" s="297">
        <f t="shared" si="37"/>
        <v>315000</v>
      </c>
      <c r="Z140" s="249" t="s">
        <v>254</v>
      </c>
    </row>
    <row r="141" spans="1:26" x14ac:dyDescent="0.25">
      <c r="A141" s="184"/>
      <c r="B141" s="249" t="s">
        <v>503</v>
      </c>
      <c r="C141" s="212"/>
      <c r="D141" s="184"/>
      <c r="E141" s="221">
        <v>228000</v>
      </c>
      <c r="F141" s="221"/>
      <c r="G141" s="222">
        <v>228000</v>
      </c>
      <c r="H141" s="223">
        <v>27571.599999999999</v>
      </c>
      <c r="I141" s="221"/>
      <c r="J141" s="226"/>
      <c r="K141" s="226"/>
      <c r="L141" s="221">
        <f t="shared" si="38"/>
        <v>200428.4</v>
      </c>
      <c r="M141" s="221">
        <f t="shared" si="34"/>
        <v>27571.599999999999</v>
      </c>
      <c r="N141" s="221"/>
      <c r="O141" s="221"/>
      <c r="P141" s="195"/>
      <c r="Q141" s="184"/>
      <c r="S141" s="184" t="s">
        <v>249</v>
      </c>
      <c r="T141" s="184" t="s">
        <v>606</v>
      </c>
      <c r="U141" s="367" t="s">
        <v>607</v>
      </c>
      <c r="V141" s="184" t="s">
        <v>53</v>
      </c>
      <c r="W141" s="249" t="s">
        <v>609</v>
      </c>
      <c r="X141" s="297">
        <f t="shared" si="36"/>
        <v>27571.599999999999</v>
      </c>
      <c r="Y141" s="297">
        <f t="shared" si="37"/>
        <v>200428.4</v>
      </c>
      <c r="Z141" s="249" t="s">
        <v>503</v>
      </c>
    </row>
    <row r="142" spans="1:26" x14ac:dyDescent="0.25">
      <c r="A142" s="184"/>
      <c r="B142" s="184"/>
      <c r="C142" s="212"/>
      <c r="D142" s="213"/>
      <c r="E142" s="213"/>
      <c r="F142" s="221"/>
      <c r="G142" s="215"/>
      <c r="H142" s="216"/>
      <c r="I142" s="213"/>
      <c r="J142" s="217"/>
      <c r="K142" s="217"/>
      <c r="L142" s="213"/>
      <c r="M142" s="213"/>
      <c r="N142" s="213"/>
      <c r="O142" s="213"/>
      <c r="P142" s="184"/>
      <c r="Q142" s="184"/>
    </row>
    <row r="143" spans="1:26" ht="13.8" thickBot="1" x14ac:dyDescent="0.3">
      <c r="A143" s="184"/>
      <c r="B143" s="227" t="s">
        <v>255</v>
      </c>
      <c r="C143" s="228">
        <f t="shared" ref="C143:O143" si="39">SUM(C122:C142)</f>
        <v>24000000</v>
      </c>
      <c r="D143" s="228">
        <f t="shared" si="39"/>
        <v>0</v>
      </c>
      <c r="E143" s="228">
        <f t="shared" si="39"/>
        <v>826719.89999999991</v>
      </c>
      <c r="F143" s="228">
        <f t="shared" si="39"/>
        <v>18081550.849999998</v>
      </c>
      <c r="G143" s="228">
        <f t="shared" si="39"/>
        <v>6745169.0499999989</v>
      </c>
      <c r="H143" s="228">
        <f>SUM(H122:H142)</f>
        <v>3376353.39</v>
      </c>
      <c r="I143" s="228">
        <f t="shared" si="39"/>
        <v>0</v>
      </c>
      <c r="J143" s="228">
        <f t="shared" si="39"/>
        <v>0</v>
      </c>
      <c r="K143" s="228">
        <f>SUM(K122:K142)</f>
        <v>0</v>
      </c>
      <c r="L143" s="228">
        <f t="shared" si="39"/>
        <v>3368815.6599999992</v>
      </c>
      <c r="M143" s="228">
        <f t="shared" si="39"/>
        <v>1293598.94</v>
      </c>
      <c r="N143" s="228">
        <f t="shared" si="39"/>
        <v>1177928.6500000001</v>
      </c>
      <c r="O143" s="228">
        <f t="shared" si="39"/>
        <v>904825.79999999993</v>
      </c>
      <c r="P143" s="195">
        <f>C143+D143+E143-F143-G143</f>
        <v>0</v>
      </c>
      <c r="Q143" s="184"/>
      <c r="W143" s="224"/>
      <c r="X143" s="184"/>
      <c r="Y143" s="184"/>
    </row>
    <row r="144" spans="1:26" ht="13.8" thickTop="1" x14ac:dyDescent="0.25">
      <c r="A144" s="184"/>
      <c r="B144" s="224"/>
      <c r="C144" s="212"/>
      <c r="D144" s="212"/>
      <c r="E144" s="212"/>
      <c r="F144" s="212"/>
      <c r="G144" s="212"/>
      <c r="H144" s="212"/>
      <c r="I144" s="212"/>
      <c r="J144" s="212"/>
      <c r="K144" s="212"/>
      <c r="L144" s="212"/>
      <c r="M144" s="212"/>
      <c r="N144" s="212"/>
      <c r="O144" s="212"/>
      <c r="P144" s="184"/>
      <c r="Q144" s="184"/>
      <c r="W144" s="224"/>
      <c r="Z144" s="224"/>
    </row>
    <row r="145" spans="1:26" x14ac:dyDescent="0.25">
      <c r="A145" s="224" t="s">
        <v>256</v>
      </c>
      <c r="B145" s="184"/>
      <c r="C145" s="212"/>
      <c r="D145" s="213"/>
      <c r="E145" s="213"/>
      <c r="F145" s="221"/>
      <c r="G145" s="222"/>
      <c r="H145" s="223"/>
      <c r="I145" s="222"/>
      <c r="J145" s="222"/>
      <c r="K145" s="222"/>
      <c r="L145" s="221"/>
      <c r="M145" s="221"/>
      <c r="N145" s="221"/>
      <c r="O145" s="221"/>
      <c r="P145" s="184"/>
      <c r="Q145" s="184"/>
    </row>
    <row r="146" spans="1:26" x14ac:dyDescent="0.25">
      <c r="A146" s="184"/>
      <c r="B146" s="184" t="s">
        <v>257</v>
      </c>
      <c r="C146" s="212">
        <v>5000000</v>
      </c>
      <c r="D146" s="213"/>
      <c r="E146" s="213"/>
      <c r="F146" s="222">
        <v>5000000</v>
      </c>
      <c r="G146" s="222">
        <v>0</v>
      </c>
      <c r="H146" s="223">
        <v>0</v>
      </c>
      <c r="I146" s="221">
        <v>0</v>
      </c>
      <c r="J146" s="226">
        <v>0</v>
      </c>
      <c r="K146" s="226">
        <v>0</v>
      </c>
      <c r="L146" s="221">
        <f>G146-H146-I146-J146-K146</f>
        <v>0</v>
      </c>
      <c r="M146" s="221"/>
      <c r="N146" s="221"/>
      <c r="O146" s="221">
        <f>H144+K144</f>
        <v>0</v>
      </c>
      <c r="P146" s="184"/>
      <c r="Q146" s="184"/>
      <c r="W146" s="184" t="s">
        <v>11</v>
      </c>
      <c r="Z146" s="184" t="s">
        <v>257</v>
      </c>
    </row>
    <row r="147" spans="1:26" x14ac:dyDescent="0.25">
      <c r="A147" s="184"/>
      <c r="B147" s="184" t="s">
        <v>258</v>
      </c>
      <c r="C147" s="212">
        <v>10000000</v>
      </c>
      <c r="D147" s="213"/>
      <c r="E147" s="213"/>
      <c r="F147" s="222">
        <f>317972.61+9676071.5+5955.89</f>
        <v>10000000</v>
      </c>
      <c r="G147" s="222">
        <v>0</v>
      </c>
      <c r="H147" s="223">
        <v>0</v>
      </c>
      <c r="I147" s="221">
        <v>0</v>
      </c>
      <c r="J147" s="226">
        <v>0</v>
      </c>
      <c r="K147" s="226">
        <v>0</v>
      </c>
      <c r="L147" s="221">
        <f>G147-H147-I147-J147-K147</f>
        <v>0</v>
      </c>
      <c r="M147" s="221"/>
      <c r="N147" s="221"/>
      <c r="O147" s="221">
        <f>H145+K145</f>
        <v>0</v>
      </c>
      <c r="P147" s="184"/>
      <c r="Q147" s="184"/>
      <c r="W147" s="184" t="s">
        <v>11</v>
      </c>
      <c r="Z147" s="184" t="s">
        <v>258</v>
      </c>
    </row>
    <row r="148" spans="1:26" x14ac:dyDescent="0.25">
      <c r="A148" s="184"/>
      <c r="B148" s="224" t="s">
        <v>201</v>
      </c>
      <c r="C148" s="212"/>
      <c r="D148" s="213"/>
      <c r="E148" s="213"/>
      <c r="F148" s="222"/>
      <c r="G148" s="222"/>
      <c r="H148" s="223"/>
      <c r="I148" s="221"/>
      <c r="J148" s="226"/>
      <c r="K148" s="226"/>
      <c r="L148" s="221"/>
      <c r="M148" s="221"/>
      <c r="N148" s="221"/>
      <c r="O148" s="221"/>
      <c r="P148" s="184"/>
      <c r="Q148" s="184"/>
      <c r="W148" s="224" t="s">
        <v>56</v>
      </c>
      <c r="X148" s="297">
        <f t="shared" ref="X148:X161" si="40">H148</f>
        <v>0</v>
      </c>
      <c r="Y148" s="297">
        <f t="shared" ref="Y148:Y161" si="41">L148</f>
        <v>0</v>
      </c>
      <c r="Z148" s="224" t="s">
        <v>201</v>
      </c>
    </row>
    <row r="149" spans="1:26" x14ac:dyDescent="0.25">
      <c r="A149" s="184"/>
      <c r="B149" s="184" t="s">
        <v>202</v>
      </c>
      <c r="C149" s="212">
        <v>7300000</v>
      </c>
      <c r="D149" s="213"/>
      <c r="E149" s="213"/>
      <c r="F149" s="222">
        <f>2171056.95+5128943.05</f>
        <v>7300000</v>
      </c>
      <c r="G149" s="222">
        <v>0</v>
      </c>
      <c r="H149" s="223">
        <v>0</v>
      </c>
      <c r="I149" s="221">
        <v>0</v>
      </c>
      <c r="J149" s="226">
        <v>0</v>
      </c>
      <c r="K149" s="226">
        <v>0</v>
      </c>
      <c r="L149" s="221">
        <f t="shared" ref="L149:L161" si="42">G149-H149-I149-J149-K149</f>
        <v>0</v>
      </c>
      <c r="M149" s="221"/>
      <c r="N149" s="221"/>
      <c r="O149" s="221">
        <f>H147+K147</f>
        <v>0</v>
      </c>
      <c r="P149" s="184"/>
      <c r="Q149" s="184"/>
      <c r="W149" s="184" t="s">
        <v>11</v>
      </c>
      <c r="X149" s="297">
        <f t="shared" si="40"/>
        <v>0</v>
      </c>
      <c r="Y149" s="297">
        <f t="shared" si="41"/>
        <v>0</v>
      </c>
      <c r="Z149" s="184" t="s">
        <v>202</v>
      </c>
    </row>
    <row r="150" spans="1:26" x14ac:dyDescent="0.25">
      <c r="A150" s="184"/>
      <c r="B150" s="184" t="s">
        <v>203</v>
      </c>
      <c r="C150" s="212">
        <v>2675000</v>
      </c>
      <c r="D150" s="213"/>
      <c r="E150" s="213"/>
      <c r="F150" s="221">
        <f>36926.03+655774.19+47446</f>
        <v>740146.22</v>
      </c>
      <c r="G150" s="222">
        <v>1934853.7800000003</v>
      </c>
      <c r="H150" s="223">
        <v>1504377.0999999999</v>
      </c>
      <c r="I150" s="221">
        <f>[5]UMB!I227</f>
        <v>0</v>
      </c>
      <c r="J150" s="226">
        <f>[5]UMB!J227</f>
        <v>0</v>
      </c>
      <c r="K150" s="226">
        <f>[5]UMB!K227</f>
        <v>0</v>
      </c>
      <c r="L150" s="221">
        <f t="shared" si="42"/>
        <v>430476.6800000004</v>
      </c>
      <c r="M150" s="221">
        <f t="shared" ref="M150:M161" si="43">H150-N150-O150</f>
        <v>559064.58000000007</v>
      </c>
      <c r="N150" s="221">
        <v>419725.30999999994</v>
      </c>
      <c r="O150" s="221">
        <v>525587.21</v>
      </c>
      <c r="P150" s="195">
        <f t="shared" ref="P150:P161" si="44">C150+D150+E150-F150-G150</f>
        <v>0</v>
      </c>
      <c r="Q150" s="184"/>
      <c r="S150" s="184" t="s">
        <v>249</v>
      </c>
      <c r="T150" s="184" t="s">
        <v>606</v>
      </c>
      <c r="U150" s="367" t="s">
        <v>607</v>
      </c>
      <c r="V150" s="184" t="s">
        <v>615</v>
      </c>
      <c r="W150" s="184" t="s">
        <v>12</v>
      </c>
      <c r="X150" s="297">
        <f t="shared" si="40"/>
        <v>1504377.0999999999</v>
      </c>
      <c r="Y150" s="297">
        <f t="shared" si="41"/>
        <v>430476.6800000004</v>
      </c>
      <c r="Z150" s="184" t="s">
        <v>203</v>
      </c>
    </row>
    <row r="151" spans="1:26" x14ac:dyDescent="0.25">
      <c r="A151" s="184"/>
      <c r="B151" s="184" t="s">
        <v>204</v>
      </c>
      <c r="C151" s="212">
        <v>642000</v>
      </c>
      <c r="D151" s="213"/>
      <c r="E151" s="213"/>
      <c r="F151" s="221">
        <f>71845.71+290497.77</f>
        <v>362343.48000000004</v>
      </c>
      <c r="G151" s="222">
        <v>279656.52</v>
      </c>
      <c r="H151" s="223">
        <v>1473.29</v>
      </c>
      <c r="I151" s="221">
        <f>[5]UMES!I128</f>
        <v>0</v>
      </c>
      <c r="J151" s="226">
        <f>[5]UMES!J128</f>
        <v>0</v>
      </c>
      <c r="K151" s="226">
        <f>[5]UMES!K128</f>
        <v>0</v>
      </c>
      <c r="L151" s="221">
        <f t="shared" si="42"/>
        <v>278183.23000000004</v>
      </c>
      <c r="M151" s="221">
        <f t="shared" si="43"/>
        <v>0</v>
      </c>
      <c r="N151" s="221">
        <v>0</v>
      </c>
      <c r="O151" s="221">
        <v>1473.29</v>
      </c>
      <c r="P151" s="195">
        <f t="shared" si="44"/>
        <v>0</v>
      </c>
      <c r="Q151" s="184"/>
      <c r="S151" s="184" t="s">
        <v>249</v>
      </c>
      <c r="T151" s="184" t="s">
        <v>606</v>
      </c>
      <c r="U151" s="367" t="s">
        <v>607</v>
      </c>
      <c r="V151" s="184" t="s">
        <v>615</v>
      </c>
      <c r="W151" s="184" t="s">
        <v>14</v>
      </c>
      <c r="X151" s="297">
        <f t="shared" si="40"/>
        <v>1473.29</v>
      </c>
      <c r="Y151" s="297">
        <f t="shared" si="41"/>
        <v>278183.23000000004</v>
      </c>
      <c r="Z151" s="184" t="s">
        <v>204</v>
      </c>
    </row>
    <row r="152" spans="1:26" x14ac:dyDescent="0.25">
      <c r="A152" s="184"/>
      <c r="B152" s="184" t="s">
        <v>205</v>
      </c>
      <c r="C152" s="212">
        <v>1452000</v>
      </c>
      <c r="D152" s="213"/>
      <c r="E152" s="213"/>
      <c r="F152" s="221">
        <f>1452000</f>
        <v>1452000</v>
      </c>
      <c r="G152" s="222">
        <v>0</v>
      </c>
      <c r="H152" s="223">
        <v>0</v>
      </c>
      <c r="I152" s="221">
        <v>0</v>
      </c>
      <c r="J152" s="226">
        <v>0</v>
      </c>
      <c r="K152" s="226">
        <v>0</v>
      </c>
      <c r="L152" s="221">
        <f t="shared" si="42"/>
        <v>0</v>
      </c>
      <c r="M152" s="221">
        <f t="shared" si="43"/>
        <v>0</v>
      </c>
      <c r="N152" s="221">
        <v>0</v>
      </c>
      <c r="O152" s="221">
        <f>H152+I152+J152+K152</f>
        <v>0</v>
      </c>
      <c r="P152" s="195">
        <f t="shared" si="44"/>
        <v>0</v>
      </c>
      <c r="Q152" s="184"/>
      <c r="S152" s="184" t="s">
        <v>249</v>
      </c>
      <c r="T152" s="184" t="s">
        <v>606</v>
      </c>
      <c r="U152" s="367" t="s">
        <v>607</v>
      </c>
      <c r="V152" s="184" t="s">
        <v>615</v>
      </c>
      <c r="W152" s="184" t="s">
        <v>15</v>
      </c>
      <c r="X152" s="297">
        <f t="shared" si="40"/>
        <v>0</v>
      </c>
      <c r="Y152" s="297">
        <f t="shared" si="41"/>
        <v>0</v>
      </c>
      <c r="Z152" s="184" t="s">
        <v>205</v>
      </c>
    </row>
    <row r="153" spans="1:26" x14ac:dyDescent="0.25">
      <c r="A153" s="184"/>
      <c r="B153" s="184" t="s">
        <v>206</v>
      </c>
      <c r="C153" s="212">
        <v>317000</v>
      </c>
      <c r="D153" s="213"/>
      <c r="E153" s="213"/>
      <c r="F153" s="221">
        <v>317000</v>
      </c>
      <c r="G153" s="222">
        <v>0</v>
      </c>
      <c r="H153" s="223">
        <v>0</v>
      </c>
      <c r="I153" s="221">
        <v>0</v>
      </c>
      <c r="J153" s="226">
        <v>0</v>
      </c>
      <c r="K153" s="226">
        <v>0</v>
      </c>
      <c r="L153" s="221">
        <f t="shared" si="42"/>
        <v>0</v>
      </c>
      <c r="M153" s="221">
        <f t="shared" si="43"/>
        <v>0</v>
      </c>
      <c r="N153" s="221">
        <v>0</v>
      </c>
      <c r="O153" s="221">
        <f>H153+I153+J153+K153</f>
        <v>0</v>
      </c>
      <c r="P153" s="195">
        <f t="shared" si="44"/>
        <v>0</v>
      </c>
      <c r="Q153" s="184"/>
      <c r="S153" s="184" t="s">
        <v>249</v>
      </c>
      <c r="T153" s="184" t="s">
        <v>606</v>
      </c>
      <c r="U153" s="367" t="s">
        <v>607</v>
      </c>
      <c r="V153" s="184" t="s">
        <v>615</v>
      </c>
      <c r="W153" s="184" t="s">
        <v>16</v>
      </c>
      <c r="X153" s="297">
        <f t="shared" si="40"/>
        <v>0</v>
      </c>
      <c r="Y153" s="297">
        <f t="shared" si="41"/>
        <v>0</v>
      </c>
      <c r="Z153" s="184" t="s">
        <v>206</v>
      </c>
    </row>
    <row r="154" spans="1:26" x14ac:dyDescent="0.25">
      <c r="A154" s="184"/>
      <c r="B154" s="184" t="s">
        <v>207</v>
      </c>
      <c r="C154" s="212">
        <v>554000</v>
      </c>
      <c r="D154" s="213"/>
      <c r="E154" s="213"/>
      <c r="F154" s="221">
        <f>159826.61+42301.37</f>
        <v>202127.97999999998</v>
      </c>
      <c r="G154" s="222">
        <v>351872.02</v>
      </c>
      <c r="H154" s="223">
        <v>351872.02</v>
      </c>
      <c r="I154" s="221">
        <f>[5]BSU!I80</f>
        <v>0</v>
      </c>
      <c r="J154" s="226">
        <f>[5]BSU!J80</f>
        <v>0</v>
      </c>
      <c r="K154" s="226">
        <f>[5]BSU!K80</f>
        <v>0</v>
      </c>
      <c r="L154" s="221">
        <f t="shared" si="42"/>
        <v>0</v>
      </c>
      <c r="M154" s="221">
        <f t="shared" si="43"/>
        <v>0</v>
      </c>
      <c r="N154" s="221">
        <v>78023.910000000033</v>
      </c>
      <c r="O154" s="221">
        <v>273848.11</v>
      </c>
      <c r="P154" s="195">
        <f t="shared" si="44"/>
        <v>0</v>
      </c>
      <c r="Q154" s="184"/>
      <c r="S154" s="184" t="s">
        <v>249</v>
      </c>
      <c r="T154" s="184" t="s">
        <v>606</v>
      </c>
      <c r="U154" s="367" t="s">
        <v>607</v>
      </c>
      <c r="V154" s="184" t="s">
        <v>615</v>
      </c>
      <c r="W154" s="184" t="s">
        <v>17</v>
      </c>
      <c r="X154" s="297">
        <f t="shared" si="40"/>
        <v>351872.02</v>
      </c>
      <c r="Y154" s="297">
        <f t="shared" si="41"/>
        <v>0</v>
      </c>
      <c r="Z154" s="184" t="s">
        <v>207</v>
      </c>
    </row>
    <row r="155" spans="1:26" x14ac:dyDescent="0.25">
      <c r="A155" s="184"/>
      <c r="B155" s="184" t="s">
        <v>208</v>
      </c>
      <c r="C155" s="212">
        <v>409000</v>
      </c>
      <c r="D155" s="213"/>
      <c r="E155" s="213"/>
      <c r="F155" s="221">
        <f>274238.46+134761.54</f>
        <v>409000</v>
      </c>
      <c r="G155" s="222">
        <v>0</v>
      </c>
      <c r="H155" s="223">
        <v>0</v>
      </c>
      <c r="I155" s="221">
        <v>0</v>
      </c>
      <c r="J155" s="226">
        <v>0</v>
      </c>
      <c r="K155" s="226">
        <v>0</v>
      </c>
      <c r="L155" s="221">
        <f t="shared" si="42"/>
        <v>0</v>
      </c>
      <c r="M155" s="221">
        <f t="shared" si="43"/>
        <v>0</v>
      </c>
      <c r="N155" s="221">
        <v>0</v>
      </c>
      <c r="O155" s="221">
        <f>H155+I155+J155+K155</f>
        <v>0</v>
      </c>
      <c r="P155" s="195">
        <f t="shared" si="44"/>
        <v>0</v>
      </c>
      <c r="Q155" s="184"/>
      <c r="S155" s="184" t="s">
        <v>249</v>
      </c>
      <c r="T155" s="184" t="s">
        <v>606</v>
      </c>
      <c r="U155" s="367" t="s">
        <v>607</v>
      </c>
      <c r="V155" s="184" t="s">
        <v>615</v>
      </c>
      <c r="W155" s="184" t="s">
        <v>18</v>
      </c>
      <c r="X155" s="297">
        <f t="shared" si="40"/>
        <v>0</v>
      </c>
      <c r="Y155" s="297">
        <f t="shared" si="41"/>
        <v>0</v>
      </c>
      <c r="Z155" s="184" t="s">
        <v>208</v>
      </c>
    </row>
    <row r="156" spans="1:26" x14ac:dyDescent="0.25">
      <c r="A156" s="184"/>
      <c r="B156" s="184" t="s">
        <v>209</v>
      </c>
      <c r="C156" s="212">
        <v>645000</v>
      </c>
      <c r="D156" s="213"/>
      <c r="E156" s="213"/>
      <c r="F156" s="221">
        <f>611741.64</f>
        <v>611741.64</v>
      </c>
      <c r="G156" s="222">
        <v>33258.359999999986</v>
      </c>
      <c r="H156" s="223">
        <v>33258.36</v>
      </c>
      <c r="I156" s="221">
        <f>[5]FSU!I141</f>
        <v>0</v>
      </c>
      <c r="J156" s="226">
        <f>[5]FSU!J141</f>
        <v>0</v>
      </c>
      <c r="K156" s="226">
        <f>[5]FSU!K141</f>
        <v>0</v>
      </c>
      <c r="L156" s="221">
        <f t="shared" si="42"/>
        <v>-1.4551915228366852E-11</v>
      </c>
      <c r="M156" s="221">
        <f t="shared" si="43"/>
        <v>0</v>
      </c>
      <c r="N156" s="221">
        <v>0</v>
      </c>
      <c r="O156" s="221">
        <v>33258.36</v>
      </c>
      <c r="P156" s="195">
        <f t="shared" si="44"/>
        <v>0</v>
      </c>
      <c r="Q156" s="184"/>
      <c r="S156" s="184" t="s">
        <v>249</v>
      </c>
      <c r="T156" s="184" t="s">
        <v>606</v>
      </c>
      <c r="U156" s="367" t="s">
        <v>607</v>
      </c>
      <c r="V156" s="184" t="s">
        <v>615</v>
      </c>
      <c r="W156" s="184" t="s">
        <v>19</v>
      </c>
      <c r="X156" s="297">
        <f t="shared" si="40"/>
        <v>33258.36</v>
      </c>
      <c r="Y156" s="297">
        <f t="shared" si="41"/>
        <v>-1.4551915228366852E-11</v>
      </c>
      <c r="Z156" s="184" t="s">
        <v>209</v>
      </c>
    </row>
    <row r="157" spans="1:26" x14ac:dyDescent="0.25">
      <c r="A157" s="184"/>
      <c r="B157" s="184" t="s">
        <v>226</v>
      </c>
      <c r="C157" s="212">
        <v>536000</v>
      </c>
      <c r="D157" s="213"/>
      <c r="E157" s="213"/>
      <c r="F157" s="221">
        <f>536000</f>
        <v>536000</v>
      </c>
      <c r="G157" s="222">
        <v>0</v>
      </c>
      <c r="H157" s="223">
        <v>0</v>
      </c>
      <c r="I157" s="221">
        <v>0</v>
      </c>
      <c r="J157" s="226">
        <v>0</v>
      </c>
      <c r="K157" s="226">
        <v>0</v>
      </c>
      <c r="L157" s="221">
        <f t="shared" si="42"/>
        <v>0</v>
      </c>
      <c r="M157" s="221">
        <f t="shared" si="43"/>
        <v>0</v>
      </c>
      <c r="N157" s="221">
        <v>0</v>
      </c>
      <c r="O157" s="221">
        <f>H157+I157+J157+K157</f>
        <v>0</v>
      </c>
      <c r="P157" s="195">
        <f t="shared" si="44"/>
        <v>0</v>
      </c>
      <c r="Q157" s="184"/>
      <c r="S157" s="184" t="s">
        <v>249</v>
      </c>
      <c r="T157" s="184" t="s">
        <v>606</v>
      </c>
      <c r="U157" s="367" t="s">
        <v>607</v>
      </c>
      <c r="V157" s="184" t="s">
        <v>615</v>
      </c>
      <c r="W157" s="184" t="s">
        <v>20</v>
      </c>
      <c r="X157" s="297">
        <f t="shared" si="40"/>
        <v>0</v>
      </c>
      <c r="Y157" s="297">
        <f t="shared" si="41"/>
        <v>0</v>
      </c>
      <c r="Z157" s="184" t="s">
        <v>226</v>
      </c>
    </row>
    <row r="158" spans="1:26" x14ac:dyDescent="0.25">
      <c r="A158" s="184"/>
      <c r="B158" s="184" t="s">
        <v>211</v>
      </c>
      <c r="C158" s="212">
        <v>1589000</v>
      </c>
      <c r="D158" s="213"/>
      <c r="E158" s="213"/>
      <c r="F158" s="221">
        <f>32706.17+518001.39+20198.17+550000+377628.95+53455.07+7915.98</f>
        <v>1559905.73</v>
      </c>
      <c r="G158" s="222">
        <v>29094.266999999938</v>
      </c>
      <c r="H158" s="223">
        <v>29094.27</v>
      </c>
      <c r="I158" s="221">
        <f>[5]TU!I174+[5]TU!I180+[5]TU!I188</f>
        <v>0</v>
      </c>
      <c r="J158" s="226">
        <f>[5]TU!J174+[5]TU!J180+[5]TU!J188</f>
        <v>0</v>
      </c>
      <c r="K158" s="226">
        <f>[5]TU!K174+[5]TU!K180+[5]TU!K188</f>
        <v>0</v>
      </c>
      <c r="L158" s="221">
        <f t="shared" si="42"/>
        <v>-3.0000000624568202E-3</v>
      </c>
      <c r="M158" s="221">
        <f t="shared" si="43"/>
        <v>0</v>
      </c>
      <c r="N158" s="221">
        <v>12726.4</v>
      </c>
      <c r="O158" s="221">
        <v>16367.87</v>
      </c>
      <c r="P158" s="195">
        <f t="shared" si="44"/>
        <v>3.0000000806467142E-3</v>
      </c>
      <c r="Q158" s="184"/>
      <c r="S158" s="184" t="s">
        <v>249</v>
      </c>
      <c r="T158" s="184" t="s">
        <v>606</v>
      </c>
      <c r="U158" s="367" t="s">
        <v>607</v>
      </c>
      <c r="V158" s="184" t="s">
        <v>615</v>
      </c>
      <c r="W158" s="184" t="s">
        <v>21</v>
      </c>
      <c r="X158" s="297">
        <f t="shared" si="40"/>
        <v>29094.27</v>
      </c>
      <c r="Y158" s="297">
        <f t="shared" si="41"/>
        <v>-3.0000000624568202E-3</v>
      </c>
      <c r="Z158" s="184" t="s">
        <v>211</v>
      </c>
    </row>
    <row r="159" spans="1:26" x14ac:dyDescent="0.25">
      <c r="A159" s="184"/>
      <c r="B159" s="184" t="s">
        <v>212</v>
      </c>
      <c r="C159" s="212">
        <v>418000</v>
      </c>
      <c r="D159" s="213"/>
      <c r="E159" s="213"/>
      <c r="F159" s="221">
        <f>2748.75+81771.25+15400</f>
        <v>99920</v>
      </c>
      <c r="G159" s="222">
        <v>318080</v>
      </c>
      <c r="H159" s="223">
        <v>275132.16000000003</v>
      </c>
      <c r="I159" s="221">
        <f>[5]UBalt!I130</f>
        <v>0</v>
      </c>
      <c r="J159" s="226">
        <f>[5]UBalt!J130</f>
        <v>0</v>
      </c>
      <c r="K159" s="226">
        <f>[5]UBalt!K130</f>
        <v>0</v>
      </c>
      <c r="L159" s="221">
        <f t="shared" si="42"/>
        <v>42947.839999999967</v>
      </c>
      <c r="M159" s="221">
        <f t="shared" si="43"/>
        <v>95520.620000000024</v>
      </c>
      <c r="N159" s="221">
        <v>143676</v>
      </c>
      <c r="O159" s="221">
        <v>35935.54</v>
      </c>
      <c r="P159" s="195">
        <f t="shared" si="44"/>
        <v>0</v>
      </c>
      <c r="Q159" s="184"/>
      <c r="S159" s="184" t="s">
        <v>249</v>
      </c>
      <c r="T159" s="184" t="s">
        <v>606</v>
      </c>
      <c r="U159" s="367" t="s">
        <v>607</v>
      </c>
      <c r="V159" s="184" t="s">
        <v>615</v>
      </c>
      <c r="W159" s="184" t="s">
        <v>22</v>
      </c>
      <c r="X159" s="297">
        <f t="shared" si="40"/>
        <v>275132.16000000003</v>
      </c>
      <c r="Y159" s="297">
        <f t="shared" si="41"/>
        <v>42947.839999999967</v>
      </c>
      <c r="Z159" s="184" t="s">
        <v>212</v>
      </c>
    </row>
    <row r="160" spans="1:26" x14ac:dyDescent="0.25">
      <c r="A160" s="184"/>
      <c r="B160" s="224" t="s">
        <v>216</v>
      </c>
      <c r="C160" s="212">
        <v>463000</v>
      </c>
      <c r="D160" s="221"/>
      <c r="E160" s="221">
        <f>24627.14-200000-287627.14</f>
        <v>-463000</v>
      </c>
      <c r="F160" s="221"/>
      <c r="G160" s="222">
        <v>0</v>
      </c>
      <c r="H160" s="223"/>
      <c r="I160" s="221"/>
      <c r="J160" s="226"/>
      <c r="K160" s="226"/>
      <c r="L160" s="221"/>
      <c r="M160" s="221">
        <f t="shared" si="43"/>
        <v>0</v>
      </c>
      <c r="N160" s="221"/>
      <c r="O160" s="221"/>
      <c r="P160" s="195">
        <f t="shared" si="44"/>
        <v>0</v>
      </c>
      <c r="Q160" s="184"/>
      <c r="S160" s="184" t="s">
        <v>249</v>
      </c>
      <c r="T160" s="184" t="s">
        <v>606</v>
      </c>
      <c r="U160" s="367" t="s">
        <v>607</v>
      </c>
      <c r="V160" s="184" t="s">
        <v>615</v>
      </c>
      <c r="W160" s="224" t="s">
        <v>56</v>
      </c>
      <c r="X160" s="297">
        <f t="shared" si="40"/>
        <v>0</v>
      </c>
      <c r="Y160" s="297">
        <f t="shared" si="41"/>
        <v>0</v>
      </c>
      <c r="Z160" s="224" t="s">
        <v>216</v>
      </c>
    </row>
    <row r="161" spans="1:26" x14ac:dyDescent="0.25">
      <c r="A161" s="184"/>
      <c r="B161" s="184" t="s">
        <v>259</v>
      </c>
      <c r="C161" s="212"/>
      <c r="D161" s="213"/>
      <c r="E161" s="221">
        <v>200000</v>
      </c>
      <c r="F161" s="221">
        <f>50289.6+58406.01</f>
        <v>108695.61</v>
      </c>
      <c r="G161" s="222">
        <v>91304.389999999985</v>
      </c>
      <c r="H161" s="223">
        <v>0</v>
      </c>
      <c r="I161" s="221">
        <f>[5]UMES!I128</f>
        <v>0</v>
      </c>
      <c r="J161" s="226">
        <f>[5]UMES!J19</f>
        <v>0</v>
      </c>
      <c r="K161" s="226">
        <f>[5]UMES!K19</f>
        <v>0</v>
      </c>
      <c r="L161" s="221">
        <f t="shared" si="42"/>
        <v>91304.389999999985</v>
      </c>
      <c r="M161" s="221">
        <f t="shared" si="43"/>
        <v>0</v>
      </c>
      <c r="N161" s="221">
        <v>0</v>
      </c>
      <c r="O161" s="221">
        <v>0</v>
      </c>
      <c r="P161" s="195">
        <f t="shared" si="44"/>
        <v>0</v>
      </c>
      <c r="Q161" s="184"/>
      <c r="S161" s="184" t="s">
        <v>249</v>
      </c>
      <c r="T161" s="184" t="s">
        <v>606</v>
      </c>
      <c r="U161" s="367" t="s">
        <v>607</v>
      </c>
      <c r="V161" s="184" t="s">
        <v>615</v>
      </c>
      <c r="W161" s="184" t="s">
        <v>14</v>
      </c>
      <c r="X161" s="297">
        <f t="shared" si="40"/>
        <v>0</v>
      </c>
      <c r="Y161" s="297">
        <f t="shared" si="41"/>
        <v>91304.389999999985</v>
      </c>
      <c r="Z161" s="184" t="s">
        <v>259</v>
      </c>
    </row>
    <row r="162" spans="1:26" x14ac:dyDescent="0.25">
      <c r="A162" s="184"/>
      <c r="B162" s="184"/>
      <c r="C162" s="212"/>
      <c r="D162" s="213"/>
      <c r="E162" s="213"/>
      <c r="F162" s="221"/>
      <c r="G162" s="215"/>
      <c r="H162" s="216"/>
      <c r="I162" s="213"/>
      <c r="J162" s="217"/>
      <c r="K162" s="217"/>
      <c r="L162" s="213"/>
      <c r="M162" s="213"/>
      <c r="N162" s="213"/>
      <c r="O162" s="213"/>
      <c r="P162" s="184"/>
      <c r="Q162" s="184"/>
    </row>
    <row r="163" spans="1:26" ht="13.8" thickBot="1" x14ac:dyDescent="0.3">
      <c r="A163" s="184"/>
      <c r="B163" s="227" t="s">
        <v>260</v>
      </c>
      <c r="C163" s="228">
        <f>SUM(C146:C162)</f>
        <v>32000000</v>
      </c>
      <c r="D163" s="228">
        <f t="shared" ref="D163:O163" si="45">SUM(D146:D162)</f>
        <v>0</v>
      </c>
      <c r="E163" s="228">
        <f t="shared" si="45"/>
        <v>-263000</v>
      </c>
      <c r="F163" s="228">
        <f>SUM(F146:F162)</f>
        <v>28698880.66</v>
      </c>
      <c r="G163" s="228">
        <f t="shared" si="45"/>
        <v>3038119.3370000003</v>
      </c>
      <c r="H163" s="228">
        <f t="shared" si="45"/>
        <v>2195207.2000000002</v>
      </c>
      <c r="I163" s="228">
        <f t="shared" si="45"/>
        <v>0</v>
      </c>
      <c r="J163" s="228">
        <f t="shared" si="45"/>
        <v>0</v>
      </c>
      <c r="K163" s="228">
        <f>SUM(K146:K162)</f>
        <v>0</v>
      </c>
      <c r="L163" s="228">
        <f t="shared" si="45"/>
        <v>842912.13700000034</v>
      </c>
      <c r="M163" s="228">
        <f t="shared" si="45"/>
        <v>654585.20000000007</v>
      </c>
      <c r="N163" s="228">
        <f t="shared" si="45"/>
        <v>654151.62</v>
      </c>
      <c r="O163" s="228">
        <f t="shared" si="45"/>
        <v>886470.38</v>
      </c>
      <c r="P163" s="195">
        <f>C163+D163+E163-F163-G163</f>
        <v>2.9999995604157448E-3</v>
      </c>
      <c r="Q163" s="184"/>
      <c r="W163" s="224"/>
      <c r="X163" s="184"/>
      <c r="Y163" s="184"/>
    </row>
    <row r="164" spans="1:26" ht="13.8" thickTop="1" x14ac:dyDescent="0.25">
      <c r="A164" s="184"/>
      <c r="B164" s="184"/>
      <c r="C164" s="212"/>
      <c r="D164" s="213"/>
      <c r="E164" s="213"/>
      <c r="F164" s="250"/>
      <c r="G164" s="215"/>
      <c r="H164" s="216"/>
      <c r="I164" s="213"/>
      <c r="J164" s="217"/>
      <c r="K164" s="217"/>
      <c r="L164" s="213"/>
      <c r="M164" s="213"/>
      <c r="N164" s="213"/>
      <c r="O164" s="213"/>
      <c r="P164" s="184"/>
      <c r="Q164" s="184"/>
    </row>
    <row r="165" spans="1:26" x14ac:dyDescent="0.25">
      <c r="A165" s="224" t="s">
        <v>261</v>
      </c>
      <c r="B165" s="184"/>
      <c r="C165" s="212"/>
      <c r="D165" s="213"/>
      <c r="E165" s="213"/>
      <c r="F165" s="221"/>
      <c r="G165" s="215"/>
      <c r="H165" s="216"/>
      <c r="I165" s="215"/>
      <c r="J165" s="215"/>
      <c r="K165" s="215"/>
      <c r="L165" s="213"/>
      <c r="M165" s="213"/>
      <c r="N165" s="213"/>
      <c r="O165" s="213"/>
      <c r="P165" s="184"/>
      <c r="Q165" s="184"/>
    </row>
    <row r="166" spans="1:26" x14ac:dyDescent="0.25">
      <c r="A166" s="184"/>
      <c r="B166" s="184" t="s">
        <v>257</v>
      </c>
      <c r="C166" s="212">
        <v>7500000</v>
      </c>
      <c r="D166" s="213"/>
      <c r="E166" s="213"/>
      <c r="F166" s="221">
        <f>570673.59+3006114.55+3749577.86+173634</f>
        <v>7500000</v>
      </c>
      <c r="G166" s="222">
        <v>0</v>
      </c>
      <c r="H166" s="223">
        <v>0</v>
      </c>
      <c r="I166" s="221">
        <v>0</v>
      </c>
      <c r="J166" s="226">
        <v>0</v>
      </c>
      <c r="K166" s="226">
        <v>0</v>
      </c>
      <c r="L166" s="221">
        <f>G166-H166-I166-J166-K166</f>
        <v>0</v>
      </c>
      <c r="M166" s="221"/>
      <c r="N166" s="221"/>
      <c r="O166" s="221">
        <f>H164+K164</f>
        <v>0</v>
      </c>
      <c r="P166" s="184"/>
      <c r="Q166" s="184"/>
      <c r="W166" s="184" t="s">
        <v>11</v>
      </c>
      <c r="Z166" s="184" t="s">
        <v>257</v>
      </c>
    </row>
    <row r="167" spans="1:26" x14ac:dyDescent="0.25">
      <c r="A167" s="184"/>
      <c r="B167" s="224" t="s">
        <v>201</v>
      </c>
      <c r="C167" s="212"/>
      <c r="D167" s="213"/>
      <c r="E167" s="213"/>
      <c r="F167" s="187"/>
      <c r="G167" s="215"/>
      <c r="H167" s="216"/>
      <c r="I167" s="213"/>
      <c r="J167" s="217"/>
      <c r="K167" s="217"/>
      <c r="L167" s="221"/>
      <c r="M167" s="221"/>
      <c r="N167" s="221"/>
      <c r="O167" s="221"/>
      <c r="P167" s="184"/>
      <c r="Q167" s="184"/>
      <c r="W167" s="224" t="s">
        <v>56</v>
      </c>
      <c r="X167" s="297">
        <f t="shared" ref="X167:X179" si="46">H167</f>
        <v>0</v>
      </c>
      <c r="Y167" s="297">
        <f t="shared" ref="Y167:Y179" si="47">L167</f>
        <v>0</v>
      </c>
      <c r="Z167" s="224" t="s">
        <v>201</v>
      </c>
    </row>
    <row r="168" spans="1:26" x14ac:dyDescent="0.25">
      <c r="A168" s="184"/>
      <c r="B168" s="184" t="s">
        <v>202</v>
      </c>
      <c r="C168" s="212">
        <f>300000+990000+990000+550000+990000+295000+150000+100000+510000+975000+900000+550000</f>
        <v>7300000</v>
      </c>
      <c r="D168" s="213"/>
      <c r="E168" s="213"/>
      <c r="F168" s="221">
        <f>2767576.24+680881.45+3851542.31</f>
        <v>7300000</v>
      </c>
      <c r="G168" s="222">
        <v>0</v>
      </c>
      <c r="H168" s="223">
        <v>0</v>
      </c>
      <c r="I168" s="221">
        <v>0</v>
      </c>
      <c r="J168" s="226">
        <v>0</v>
      </c>
      <c r="K168" s="226">
        <v>0</v>
      </c>
      <c r="L168" s="221">
        <f t="shared" ref="L168:L178" si="48">G168-H168-I168-J168-K168</f>
        <v>0</v>
      </c>
      <c r="M168" s="221">
        <f t="shared" ref="M168:M179" si="49">H168-N168-O168</f>
        <v>0</v>
      </c>
      <c r="N168" s="221"/>
      <c r="O168" s="221">
        <v>0</v>
      </c>
      <c r="P168" s="195">
        <f t="shared" ref="P168:P179" si="50">C168+D168+E168-F168-G168</f>
        <v>0</v>
      </c>
      <c r="Q168" s="184"/>
      <c r="S168" s="184" t="s">
        <v>249</v>
      </c>
      <c r="T168" s="184" t="s">
        <v>606</v>
      </c>
      <c r="U168" s="367" t="s">
        <v>607</v>
      </c>
      <c r="V168" s="184" t="s">
        <v>616</v>
      </c>
      <c r="W168" s="184" t="s">
        <v>11</v>
      </c>
      <c r="X168" s="297">
        <f t="shared" si="46"/>
        <v>0</v>
      </c>
      <c r="Y168" s="297">
        <f t="shared" si="47"/>
        <v>0</v>
      </c>
      <c r="Z168" s="184" t="s">
        <v>202</v>
      </c>
    </row>
    <row r="169" spans="1:26" x14ac:dyDescent="0.25">
      <c r="A169" s="184"/>
      <c r="B169" s="184" t="s">
        <v>203</v>
      </c>
      <c r="C169" s="212">
        <f>990000+990000+695000</f>
        <v>2675000</v>
      </c>
      <c r="D169" s="221">
        <v>-0.02</v>
      </c>
      <c r="E169" s="213"/>
      <c r="F169" s="222">
        <f>13205.39+184961.16+174257.2+675592.72+34722.5</f>
        <v>1082738.97</v>
      </c>
      <c r="G169" s="222">
        <v>1592261.0099999995</v>
      </c>
      <c r="H169" s="223">
        <v>1575389.58</v>
      </c>
      <c r="I169" s="221">
        <f>[5]UMB!I258</f>
        <v>0</v>
      </c>
      <c r="J169" s="226">
        <f>[5]UMB!J258</f>
        <v>0</v>
      </c>
      <c r="K169" s="226">
        <f>[5]UMB!K258</f>
        <v>0</v>
      </c>
      <c r="L169" s="221">
        <f t="shared" si="48"/>
        <v>16871.429999999469</v>
      </c>
      <c r="M169" s="221">
        <f t="shared" si="49"/>
        <v>785940</v>
      </c>
      <c r="N169" s="221">
        <v>238561.30999999994</v>
      </c>
      <c r="O169" s="221">
        <v>550888.27</v>
      </c>
      <c r="P169" s="195">
        <f t="shared" si="50"/>
        <v>0</v>
      </c>
      <c r="Q169" s="184"/>
      <c r="S169" s="184" t="s">
        <v>249</v>
      </c>
      <c r="T169" s="184" t="s">
        <v>606</v>
      </c>
      <c r="U169" s="367" t="s">
        <v>607</v>
      </c>
      <c r="V169" s="184" t="s">
        <v>616</v>
      </c>
      <c r="W169" s="184" t="s">
        <v>12</v>
      </c>
      <c r="X169" s="297">
        <f t="shared" si="46"/>
        <v>1575389.58</v>
      </c>
      <c r="Y169" s="297">
        <f t="shared" si="47"/>
        <v>16871.429999999469</v>
      </c>
      <c r="Z169" s="184" t="s">
        <v>203</v>
      </c>
    </row>
    <row r="170" spans="1:26" x14ac:dyDescent="0.25">
      <c r="A170" s="184"/>
      <c r="B170" s="184" t="s">
        <v>204</v>
      </c>
      <c r="C170" s="212">
        <v>642000</v>
      </c>
      <c r="D170" s="213"/>
      <c r="E170" s="213"/>
      <c r="F170" s="221">
        <f>637427.17+4572.83</f>
        <v>642000</v>
      </c>
      <c r="G170" s="222">
        <v>-4.1836756281554699E-11</v>
      </c>
      <c r="H170" s="223">
        <v>0</v>
      </c>
      <c r="I170" s="221">
        <f>[5]UMES!I136</f>
        <v>0</v>
      </c>
      <c r="J170" s="226">
        <f>[5]UMES!J136</f>
        <v>0</v>
      </c>
      <c r="K170" s="226">
        <f>[5]UMES!K136</f>
        <v>0</v>
      </c>
      <c r="L170" s="221">
        <f t="shared" si="48"/>
        <v>-4.1836756281554699E-11</v>
      </c>
      <c r="M170" s="221">
        <f t="shared" si="49"/>
        <v>0</v>
      </c>
      <c r="N170" s="221">
        <v>0</v>
      </c>
      <c r="O170" s="221">
        <f>H170+I170+J170+K170</f>
        <v>0</v>
      </c>
      <c r="P170" s="195">
        <f t="shared" si="50"/>
        <v>4.1836756281554699E-11</v>
      </c>
      <c r="Q170" s="184"/>
      <c r="S170" s="184" t="s">
        <v>249</v>
      </c>
      <c r="T170" s="184" t="s">
        <v>606</v>
      </c>
      <c r="U170" s="367" t="s">
        <v>607</v>
      </c>
      <c r="V170" s="184" t="s">
        <v>616</v>
      </c>
      <c r="W170" s="184" t="s">
        <v>14</v>
      </c>
      <c r="X170" s="297">
        <f t="shared" si="46"/>
        <v>0</v>
      </c>
      <c r="Y170" s="297">
        <f t="shared" si="47"/>
        <v>-4.1836756281554699E-11</v>
      </c>
      <c r="Z170" s="184" t="s">
        <v>204</v>
      </c>
    </row>
    <row r="171" spans="1:26" x14ac:dyDescent="0.25">
      <c r="A171" s="184"/>
      <c r="B171" s="184" t="s">
        <v>205</v>
      </c>
      <c r="C171" s="212">
        <v>1452000</v>
      </c>
      <c r="D171" s="213"/>
      <c r="E171" s="213"/>
      <c r="F171" s="221">
        <f>371294.08+1056822.47+23883.45</f>
        <v>1452000</v>
      </c>
      <c r="G171" s="222">
        <v>0</v>
      </c>
      <c r="H171" s="223">
        <v>0</v>
      </c>
      <c r="I171" s="221">
        <v>0</v>
      </c>
      <c r="J171" s="226">
        <v>0</v>
      </c>
      <c r="K171" s="226">
        <v>0</v>
      </c>
      <c r="L171" s="221">
        <f t="shared" si="48"/>
        <v>0</v>
      </c>
      <c r="M171" s="221">
        <f t="shared" si="49"/>
        <v>0</v>
      </c>
      <c r="N171" s="221">
        <v>0</v>
      </c>
      <c r="O171" s="221">
        <f>H171+I171+J171+K171</f>
        <v>0</v>
      </c>
      <c r="P171" s="195">
        <f t="shared" si="50"/>
        <v>0</v>
      </c>
      <c r="Q171" s="184"/>
      <c r="S171" s="184" t="s">
        <v>249</v>
      </c>
      <c r="T171" s="184" t="s">
        <v>606</v>
      </c>
      <c r="U171" s="367" t="s">
        <v>607</v>
      </c>
      <c r="V171" s="184" t="s">
        <v>616</v>
      </c>
      <c r="W171" s="184" t="s">
        <v>15</v>
      </c>
      <c r="X171" s="297">
        <f t="shared" si="46"/>
        <v>0</v>
      </c>
      <c r="Y171" s="297">
        <f t="shared" si="47"/>
        <v>0</v>
      </c>
      <c r="Z171" s="184" t="s">
        <v>205</v>
      </c>
    </row>
    <row r="172" spans="1:26" x14ac:dyDescent="0.25">
      <c r="A172" s="184"/>
      <c r="B172" s="184" t="s">
        <v>206</v>
      </c>
      <c r="C172" s="212">
        <v>317000</v>
      </c>
      <c r="D172" s="213"/>
      <c r="E172" s="213"/>
      <c r="F172" s="221">
        <f>2937.02+314062.98</f>
        <v>317000</v>
      </c>
      <c r="G172" s="222">
        <v>0</v>
      </c>
      <c r="H172" s="223">
        <v>0</v>
      </c>
      <c r="I172" s="221">
        <v>0</v>
      </c>
      <c r="J172" s="226">
        <v>0</v>
      </c>
      <c r="K172" s="226">
        <v>0</v>
      </c>
      <c r="L172" s="221">
        <f t="shared" si="48"/>
        <v>0</v>
      </c>
      <c r="M172" s="221">
        <f t="shared" si="49"/>
        <v>0</v>
      </c>
      <c r="N172" s="221">
        <v>0</v>
      </c>
      <c r="O172" s="221">
        <f>H172+I172+J172+K172</f>
        <v>0</v>
      </c>
      <c r="P172" s="195">
        <f t="shared" si="50"/>
        <v>0</v>
      </c>
      <c r="Q172" s="184"/>
      <c r="S172" s="184" t="s">
        <v>249</v>
      </c>
      <c r="T172" s="184" t="s">
        <v>606</v>
      </c>
      <c r="U172" s="367" t="s">
        <v>607</v>
      </c>
      <c r="V172" s="184" t="s">
        <v>616</v>
      </c>
      <c r="W172" s="184" t="s">
        <v>16</v>
      </c>
      <c r="X172" s="297">
        <f t="shared" si="46"/>
        <v>0</v>
      </c>
      <c r="Y172" s="297">
        <f t="shared" si="47"/>
        <v>0</v>
      </c>
      <c r="Z172" s="184" t="s">
        <v>206</v>
      </c>
    </row>
    <row r="173" spans="1:26" x14ac:dyDescent="0.25">
      <c r="A173" s="184"/>
      <c r="B173" s="184" t="s">
        <v>207</v>
      </c>
      <c r="C173" s="212">
        <f>400000+154000</f>
        <v>554000</v>
      </c>
      <c r="D173" s="213"/>
      <c r="E173" s="213"/>
      <c r="F173" s="222">
        <f>28173+78156.58+373685.53</f>
        <v>480015.11000000004</v>
      </c>
      <c r="G173" s="222">
        <v>73984.890000000014</v>
      </c>
      <c r="H173" s="223">
        <v>73984.89</v>
      </c>
      <c r="I173" s="221">
        <f>[5]BSU!I92</f>
        <v>0</v>
      </c>
      <c r="J173" s="226">
        <f>[5]BSU!J92</f>
        <v>0</v>
      </c>
      <c r="K173" s="226">
        <f>[5]BSU!K92</f>
        <v>0</v>
      </c>
      <c r="L173" s="221">
        <f t="shared" si="48"/>
        <v>1.4551915228366852E-11</v>
      </c>
      <c r="M173" s="221">
        <f t="shared" si="49"/>
        <v>0</v>
      </c>
      <c r="N173" s="221">
        <v>0</v>
      </c>
      <c r="O173" s="221">
        <v>73984.89</v>
      </c>
      <c r="P173" s="195">
        <f t="shared" si="50"/>
        <v>0</v>
      </c>
      <c r="Q173" s="184"/>
      <c r="S173" s="184" t="s">
        <v>249</v>
      </c>
      <c r="T173" s="184" t="s">
        <v>606</v>
      </c>
      <c r="U173" s="367" t="s">
        <v>607</v>
      </c>
      <c r="V173" s="184" t="s">
        <v>616</v>
      </c>
      <c r="W173" s="184" t="s">
        <v>17</v>
      </c>
      <c r="X173" s="297">
        <f t="shared" si="46"/>
        <v>73984.89</v>
      </c>
      <c r="Y173" s="297">
        <f t="shared" si="47"/>
        <v>1.4551915228366852E-11</v>
      </c>
      <c r="Z173" s="184" t="s">
        <v>207</v>
      </c>
    </row>
    <row r="174" spans="1:26" x14ac:dyDescent="0.25">
      <c r="A174" s="184"/>
      <c r="B174" s="184" t="s">
        <v>208</v>
      </c>
      <c r="C174" s="212">
        <f>50000+150000+109000</f>
        <v>309000</v>
      </c>
      <c r="D174" s="213"/>
      <c r="E174" s="213"/>
      <c r="F174" s="221">
        <f>309000</f>
        <v>309000</v>
      </c>
      <c r="G174" s="222">
        <v>0</v>
      </c>
      <c r="H174" s="223">
        <v>0</v>
      </c>
      <c r="I174" s="221">
        <v>0</v>
      </c>
      <c r="J174" s="226">
        <v>0</v>
      </c>
      <c r="K174" s="226">
        <v>0</v>
      </c>
      <c r="L174" s="221">
        <f t="shared" si="48"/>
        <v>0</v>
      </c>
      <c r="M174" s="221">
        <f t="shared" si="49"/>
        <v>0</v>
      </c>
      <c r="N174" s="221">
        <v>0</v>
      </c>
      <c r="O174" s="221">
        <v>0</v>
      </c>
      <c r="P174" s="195">
        <f t="shared" si="50"/>
        <v>0</v>
      </c>
      <c r="Q174" s="184"/>
      <c r="S174" s="184" t="s">
        <v>249</v>
      </c>
      <c r="T174" s="184" t="s">
        <v>606</v>
      </c>
      <c r="U174" s="367" t="s">
        <v>607</v>
      </c>
      <c r="V174" s="184" t="s">
        <v>616</v>
      </c>
      <c r="W174" s="184" t="s">
        <v>18</v>
      </c>
      <c r="X174" s="297">
        <f t="shared" si="46"/>
        <v>0</v>
      </c>
      <c r="Y174" s="297">
        <f t="shared" si="47"/>
        <v>0</v>
      </c>
      <c r="Z174" s="184" t="s">
        <v>208</v>
      </c>
    </row>
    <row r="175" spans="1:26" x14ac:dyDescent="0.25">
      <c r="A175" s="184"/>
      <c r="B175" s="184" t="s">
        <v>209</v>
      </c>
      <c r="C175" s="212">
        <f>96974+51974+496052</f>
        <v>645000</v>
      </c>
      <c r="D175" s="213"/>
      <c r="E175" s="213"/>
      <c r="F175" s="222">
        <f>499480.88+49097+52268</f>
        <v>600845.88</v>
      </c>
      <c r="G175" s="222">
        <v>44154.119999999995</v>
      </c>
      <c r="H175" s="223">
        <v>44154.12</v>
      </c>
      <c r="I175" s="221">
        <f>[5]FSU!I154</f>
        <v>0</v>
      </c>
      <c r="J175" s="226">
        <f>[5]FSU!J154</f>
        <v>0</v>
      </c>
      <c r="K175" s="226">
        <f>[5]FSU!K154</f>
        <v>0</v>
      </c>
      <c r="L175" s="221">
        <f t="shared" si="48"/>
        <v>-7.2759576141834259E-12</v>
      </c>
      <c r="M175" s="221">
        <f t="shared" si="49"/>
        <v>0</v>
      </c>
      <c r="N175" s="221">
        <v>0</v>
      </c>
      <c r="O175" s="221">
        <v>44154.12</v>
      </c>
      <c r="P175" s="195">
        <f t="shared" si="50"/>
        <v>0</v>
      </c>
      <c r="Q175" s="184"/>
      <c r="S175" s="184" t="s">
        <v>249</v>
      </c>
      <c r="T175" s="184" t="s">
        <v>606</v>
      </c>
      <c r="U175" s="367" t="s">
        <v>607</v>
      </c>
      <c r="V175" s="184" t="s">
        <v>616</v>
      </c>
      <c r="W175" s="184" t="s">
        <v>19</v>
      </c>
      <c r="X175" s="297">
        <f t="shared" si="46"/>
        <v>44154.12</v>
      </c>
      <c r="Y175" s="297">
        <f t="shared" si="47"/>
        <v>-7.2759576141834259E-12</v>
      </c>
      <c r="Z175" s="184" t="s">
        <v>209</v>
      </c>
    </row>
    <row r="176" spans="1:26" x14ac:dyDescent="0.25">
      <c r="A176" s="184"/>
      <c r="B176" s="184" t="s">
        <v>226</v>
      </c>
      <c r="C176" s="212">
        <v>536000</v>
      </c>
      <c r="D176" s="213"/>
      <c r="E176" s="213"/>
      <c r="F176" s="222">
        <f>10442.22+514492.66+11065.12</f>
        <v>536000</v>
      </c>
      <c r="G176" s="222">
        <v>0</v>
      </c>
      <c r="H176" s="223">
        <v>0</v>
      </c>
      <c r="I176" s="221">
        <v>0</v>
      </c>
      <c r="J176" s="226">
        <v>0</v>
      </c>
      <c r="K176" s="226">
        <v>0</v>
      </c>
      <c r="L176" s="221">
        <f t="shared" si="48"/>
        <v>0</v>
      </c>
      <c r="M176" s="221">
        <f t="shared" si="49"/>
        <v>0</v>
      </c>
      <c r="N176" s="221">
        <v>0</v>
      </c>
      <c r="O176" s="221">
        <v>0</v>
      </c>
      <c r="P176" s="195">
        <f t="shared" si="50"/>
        <v>0</v>
      </c>
      <c r="Q176" s="184"/>
      <c r="S176" s="184" t="s">
        <v>249</v>
      </c>
      <c r="T176" s="184" t="s">
        <v>606</v>
      </c>
      <c r="U176" s="367" t="s">
        <v>607</v>
      </c>
      <c r="V176" s="184" t="s">
        <v>616</v>
      </c>
      <c r="W176" s="184" t="s">
        <v>20</v>
      </c>
      <c r="X176" s="297">
        <f t="shared" si="46"/>
        <v>0</v>
      </c>
      <c r="Y176" s="297">
        <f t="shared" si="47"/>
        <v>0</v>
      </c>
      <c r="Z176" s="184" t="s">
        <v>226</v>
      </c>
    </row>
    <row r="177" spans="1:26" x14ac:dyDescent="0.25">
      <c r="A177" s="184"/>
      <c r="B177" s="184" t="s">
        <v>211</v>
      </c>
      <c r="C177" s="212">
        <f>600000+550000+439000</f>
        <v>1589000</v>
      </c>
      <c r="D177" s="221">
        <v>-0.7</v>
      </c>
      <c r="E177" s="185"/>
      <c r="F177" s="222">
        <f>588447.37+453769.26+513210.16</f>
        <v>1555426.79</v>
      </c>
      <c r="G177" s="222">
        <v>33572.510000000024</v>
      </c>
      <c r="H177" s="223">
        <v>33572.51</v>
      </c>
      <c r="I177" s="221">
        <v>0</v>
      </c>
      <c r="J177" s="226">
        <v>0</v>
      </c>
      <c r="K177" s="226">
        <v>0</v>
      </c>
      <c r="L177" s="221">
        <f t="shared" si="48"/>
        <v>2.1827872842550278E-11</v>
      </c>
      <c r="M177" s="221">
        <f t="shared" si="49"/>
        <v>0</v>
      </c>
      <c r="N177" s="221">
        <v>0</v>
      </c>
      <c r="O177" s="221">
        <v>33572.51</v>
      </c>
      <c r="P177" s="195">
        <f t="shared" si="50"/>
        <v>0</v>
      </c>
      <c r="Q177" s="184"/>
      <c r="S177" s="184" t="s">
        <v>249</v>
      </c>
      <c r="T177" s="184" t="s">
        <v>606</v>
      </c>
      <c r="U177" s="367" t="s">
        <v>607</v>
      </c>
      <c r="V177" s="184" t="s">
        <v>616</v>
      </c>
      <c r="W177" s="184" t="s">
        <v>21</v>
      </c>
      <c r="X177" s="297">
        <f t="shared" si="46"/>
        <v>33572.51</v>
      </c>
      <c r="Y177" s="297">
        <f t="shared" si="47"/>
        <v>2.1827872842550278E-11</v>
      </c>
      <c r="Z177" s="184" t="s">
        <v>211</v>
      </c>
    </row>
    <row r="178" spans="1:26" x14ac:dyDescent="0.25">
      <c r="A178" s="184"/>
      <c r="B178" s="184" t="s">
        <v>212</v>
      </c>
      <c r="C178" s="212">
        <v>418000</v>
      </c>
      <c r="D178" s="213"/>
      <c r="E178" s="213"/>
      <c r="F178" s="221">
        <f>78065+160839.77+177315+1780.23</f>
        <v>418000</v>
      </c>
      <c r="G178" s="222">
        <v>1.0459189070388675E-11</v>
      </c>
      <c r="H178" s="223">
        <v>0</v>
      </c>
      <c r="I178" s="221">
        <f>[5]UBalt!I139</f>
        <v>0</v>
      </c>
      <c r="J178" s="226">
        <f>[5]UBalt!J139</f>
        <v>0</v>
      </c>
      <c r="K178" s="226">
        <f>[5]UBalt!K139</f>
        <v>0</v>
      </c>
      <c r="L178" s="221">
        <f t="shared" si="48"/>
        <v>1.0459189070388675E-11</v>
      </c>
      <c r="M178" s="221">
        <f t="shared" si="49"/>
        <v>0</v>
      </c>
      <c r="N178" s="221">
        <v>0</v>
      </c>
      <c r="O178" s="221">
        <v>0</v>
      </c>
      <c r="P178" s="195">
        <f t="shared" si="50"/>
        <v>-1.0459189070388675E-11</v>
      </c>
      <c r="Q178" s="184"/>
      <c r="S178" s="184" t="s">
        <v>249</v>
      </c>
      <c r="T178" s="184" t="s">
        <v>606</v>
      </c>
      <c r="U178" s="367" t="s">
        <v>607</v>
      </c>
      <c r="V178" s="184" t="s">
        <v>616</v>
      </c>
      <c r="W178" s="184" t="s">
        <v>22</v>
      </c>
      <c r="X178" s="297">
        <f t="shared" si="46"/>
        <v>0</v>
      </c>
      <c r="Y178" s="297">
        <f t="shared" si="47"/>
        <v>1.0459189070388675E-11</v>
      </c>
      <c r="Z178" s="184" t="s">
        <v>212</v>
      </c>
    </row>
    <row r="179" spans="1:26" x14ac:dyDescent="0.25">
      <c r="A179" s="184"/>
      <c r="B179" s="224" t="s">
        <v>216</v>
      </c>
      <c r="C179" s="212">
        <v>563000</v>
      </c>
      <c r="D179" s="213"/>
      <c r="E179" s="221">
        <f>-563000</f>
        <v>-563000</v>
      </c>
      <c r="F179" s="221"/>
      <c r="G179" s="222">
        <v>0</v>
      </c>
      <c r="H179" s="223"/>
      <c r="I179" s="221"/>
      <c r="J179" s="226"/>
      <c r="K179" s="226"/>
      <c r="L179" s="221"/>
      <c r="M179" s="221">
        <f t="shared" si="49"/>
        <v>0</v>
      </c>
      <c r="N179" s="221"/>
      <c r="O179" s="221"/>
      <c r="P179" s="195">
        <f t="shared" si="50"/>
        <v>0</v>
      </c>
      <c r="Q179" s="184"/>
      <c r="S179" s="184" t="s">
        <v>249</v>
      </c>
      <c r="T179" s="184" t="s">
        <v>606</v>
      </c>
      <c r="U179" s="367" t="s">
        <v>607</v>
      </c>
      <c r="V179" s="184" t="s">
        <v>616</v>
      </c>
      <c r="W179" s="224" t="s">
        <v>56</v>
      </c>
      <c r="X179" s="297">
        <f t="shared" si="46"/>
        <v>0</v>
      </c>
      <c r="Y179" s="297">
        <f t="shared" si="47"/>
        <v>0</v>
      </c>
      <c r="Z179" s="224" t="s">
        <v>216</v>
      </c>
    </row>
    <row r="180" spans="1:26" x14ac:dyDescent="0.25">
      <c r="A180" s="184"/>
      <c r="B180" s="184"/>
      <c r="C180" s="212"/>
      <c r="D180" s="213"/>
      <c r="E180" s="213"/>
      <c r="F180" s="221"/>
      <c r="G180" s="215"/>
      <c r="H180" s="216"/>
      <c r="I180" s="213"/>
      <c r="J180" s="217"/>
      <c r="K180" s="217"/>
      <c r="L180" s="213"/>
      <c r="M180" s="213"/>
      <c r="N180" s="213"/>
      <c r="O180" s="213"/>
      <c r="P180" s="184"/>
      <c r="Q180" s="184"/>
    </row>
    <row r="181" spans="1:26" ht="13.8" thickBot="1" x14ac:dyDescent="0.3">
      <c r="A181" s="184"/>
      <c r="B181" s="227" t="s">
        <v>262</v>
      </c>
      <c r="C181" s="228">
        <f t="shared" ref="C181:K181" si="51">SUM(C166:C180)</f>
        <v>24500000</v>
      </c>
      <c r="D181" s="251">
        <f t="shared" si="51"/>
        <v>-0.72</v>
      </c>
      <c r="E181" s="251">
        <f t="shared" si="51"/>
        <v>-563000</v>
      </c>
      <c r="F181" s="251">
        <f t="shared" si="51"/>
        <v>22193026.749999996</v>
      </c>
      <c r="G181" s="251">
        <f t="shared" si="51"/>
        <v>1743972.5299999996</v>
      </c>
      <c r="H181" s="251">
        <f t="shared" si="51"/>
        <v>1727101.1</v>
      </c>
      <c r="I181" s="251">
        <f t="shared" si="51"/>
        <v>0</v>
      </c>
      <c r="J181" s="251">
        <f t="shared" si="51"/>
        <v>0</v>
      </c>
      <c r="K181" s="251">
        <f t="shared" si="51"/>
        <v>0</v>
      </c>
      <c r="L181" s="251">
        <f>SUM(L166:L180)</f>
        <v>16871.429999999466</v>
      </c>
      <c r="M181" s="251">
        <f>SUM(M166:M180)</f>
        <v>785940</v>
      </c>
      <c r="N181" s="251">
        <f>SUM(N166:N180)</f>
        <v>238561.30999999994</v>
      </c>
      <c r="O181" s="251">
        <f>SUM(O166:O180)</f>
        <v>702599.79</v>
      </c>
      <c r="P181" s="195">
        <f>C181+D181+E181-F181-G181</f>
        <v>5.3551048040390015E-9</v>
      </c>
      <c r="Q181" s="184"/>
      <c r="W181" s="224"/>
      <c r="X181" s="184"/>
      <c r="Y181" s="184"/>
    </row>
    <row r="182" spans="1:26" ht="13.8" thickTop="1" x14ac:dyDescent="0.25">
      <c r="A182" s="184"/>
      <c r="B182" s="184"/>
      <c r="C182" s="212"/>
      <c r="D182" s="213"/>
      <c r="E182" s="213"/>
      <c r="F182" s="250"/>
      <c r="G182" s="215"/>
      <c r="H182" s="216"/>
      <c r="I182" s="213"/>
      <c r="J182" s="217"/>
      <c r="K182" s="217"/>
      <c r="L182" s="213"/>
      <c r="M182" s="213"/>
      <c r="N182" s="213"/>
      <c r="O182" s="213"/>
      <c r="P182" s="184"/>
      <c r="Q182" s="184"/>
    </row>
    <row r="183" spans="1:26" x14ac:dyDescent="0.25">
      <c r="A183" s="224" t="s">
        <v>263</v>
      </c>
      <c r="B183" s="184"/>
      <c r="C183" s="212"/>
      <c r="D183" s="213"/>
      <c r="E183" s="213"/>
      <c r="F183" s="221"/>
      <c r="G183" s="215"/>
      <c r="H183" s="216"/>
      <c r="I183" s="215"/>
      <c r="J183" s="215"/>
      <c r="K183" s="215"/>
      <c r="L183" s="213"/>
      <c r="M183" s="213"/>
      <c r="N183" s="213"/>
      <c r="O183" s="213"/>
      <c r="P183" s="184"/>
      <c r="Q183" s="184"/>
    </row>
    <row r="184" spans="1:26" x14ac:dyDescent="0.25">
      <c r="A184" s="184"/>
      <c r="B184" s="184" t="s">
        <v>264</v>
      </c>
      <c r="C184" s="212">
        <v>5000000</v>
      </c>
      <c r="D184" s="221"/>
      <c r="E184" s="221"/>
      <c r="F184" s="221">
        <f>233366.84+57065.83+3761966.02+325934.68+385895.56+235771.07</f>
        <v>5000000</v>
      </c>
      <c r="G184" s="222">
        <v>0</v>
      </c>
      <c r="H184" s="223">
        <v>0</v>
      </c>
      <c r="I184" s="221">
        <v>0</v>
      </c>
      <c r="J184" s="226">
        <v>0</v>
      </c>
      <c r="K184" s="226">
        <v>0</v>
      </c>
      <c r="L184" s="221">
        <f>G184-H184-I184-J184-K184</f>
        <v>0</v>
      </c>
      <c r="M184" s="221">
        <f>H184-N184-O184</f>
        <v>0</v>
      </c>
      <c r="N184" s="221"/>
      <c r="O184" s="221">
        <v>0</v>
      </c>
      <c r="P184" s="195">
        <f t="shared" ref="P184:P201" si="52">C184+D184+E184-F184-G184</f>
        <v>0</v>
      </c>
      <c r="Q184" s="184"/>
      <c r="S184" s="184" t="s">
        <v>249</v>
      </c>
      <c r="T184" s="184" t="s">
        <v>249</v>
      </c>
      <c r="U184" s="184">
        <v>20</v>
      </c>
      <c r="V184" s="184" t="s">
        <v>33</v>
      </c>
      <c r="W184" s="184" t="s">
        <v>11</v>
      </c>
      <c r="X184" s="297">
        <f t="shared" ref="X184:X201" si="53">H184</f>
        <v>0</v>
      </c>
      <c r="Y184" s="297">
        <f t="shared" ref="Y184:Y201" si="54">L184</f>
        <v>0</v>
      </c>
      <c r="Z184" s="184" t="s">
        <v>264</v>
      </c>
    </row>
    <row r="185" spans="1:26" x14ac:dyDescent="0.25">
      <c r="A185" s="184"/>
      <c r="B185" s="184" t="s">
        <v>257</v>
      </c>
      <c r="C185" s="212">
        <v>20000000</v>
      </c>
      <c r="D185" s="221"/>
      <c r="E185" s="221"/>
      <c r="F185" s="221">
        <f>57764.24+19923609.95+18625.81</f>
        <v>19999999.999999996</v>
      </c>
      <c r="G185" s="222">
        <v>0</v>
      </c>
      <c r="H185" s="223">
        <v>0</v>
      </c>
      <c r="I185" s="221">
        <v>0</v>
      </c>
      <c r="J185" s="226">
        <v>0</v>
      </c>
      <c r="K185" s="226">
        <v>0</v>
      </c>
      <c r="L185" s="221">
        <f>G185-H185-I185-J185-K185</f>
        <v>0</v>
      </c>
      <c r="M185" s="221">
        <f>H185-N185-O185</f>
        <v>0</v>
      </c>
      <c r="N185" s="221"/>
      <c r="O185" s="221">
        <v>0</v>
      </c>
      <c r="P185" s="195">
        <f t="shared" si="52"/>
        <v>3.7252902984619141E-9</v>
      </c>
      <c r="Q185" s="184"/>
      <c r="S185" s="184" t="s">
        <v>249</v>
      </c>
      <c r="T185" s="184" t="s">
        <v>249</v>
      </c>
      <c r="U185" s="184">
        <v>20</v>
      </c>
      <c r="V185" s="184" t="s">
        <v>33</v>
      </c>
      <c r="W185" s="184" t="s">
        <v>11</v>
      </c>
      <c r="X185" s="297">
        <f t="shared" si="53"/>
        <v>0</v>
      </c>
      <c r="Y185" s="297">
        <f t="shared" si="54"/>
        <v>0</v>
      </c>
      <c r="Z185" s="184" t="s">
        <v>257</v>
      </c>
    </row>
    <row r="186" spans="1:26" x14ac:dyDescent="0.25">
      <c r="A186" s="184"/>
      <c r="B186" s="184" t="s">
        <v>265</v>
      </c>
      <c r="C186" s="212">
        <v>12500000</v>
      </c>
      <c r="D186" s="221"/>
      <c r="E186" s="221"/>
      <c r="F186" s="221">
        <f>9668105.38+340252.44+1882829.88+36511.16+572301.14</f>
        <v>12500000</v>
      </c>
      <c r="G186" s="222">
        <v>0</v>
      </c>
      <c r="H186" s="223">
        <v>0</v>
      </c>
      <c r="I186" s="221">
        <v>0</v>
      </c>
      <c r="J186" s="226">
        <v>0</v>
      </c>
      <c r="K186" s="226">
        <v>0</v>
      </c>
      <c r="L186" s="221">
        <f>G186-H186-I186-J186-K186</f>
        <v>0</v>
      </c>
      <c r="M186" s="221">
        <f>H186-N186-O186</f>
        <v>0</v>
      </c>
      <c r="N186" s="221"/>
      <c r="O186" s="221">
        <v>0</v>
      </c>
      <c r="P186" s="195">
        <f t="shared" si="52"/>
        <v>0</v>
      </c>
      <c r="Q186" s="184"/>
      <c r="S186" s="184" t="s">
        <v>249</v>
      </c>
      <c r="T186" s="184" t="s">
        <v>249</v>
      </c>
      <c r="U186" s="184">
        <v>20</v>
      </c>
      <c r="V186" s="184" t="s">
        <v>33</v>
      </c>
      <c r="W186" s="184" t="s">
        <v>20</v>
      </c>
      <c r="X186" s="297">
        <f t="shared" si="53"/>
        <v>0</v>
      </c>
      <c r="Y186" s="297">
        <f t="shared" si="54"/>
        <v>0</v>
      </c>
      <c r="Z186" s="184" t="s">
        <v>265</v>
      </c>
    </row>
    <row r="187" spans="1:26" x14ac:dyDescent="0.25">
      <c r="A187" s="184"/>
      <c r="B187" s="224" t="s">
        <v>201</v>
      </c>
      <c r="C187" s="212"/>
      <c r="D187" s="221"/>
      <c r="E187" s="221"/>
      <c r="F187" s="221"/>
      <c r="G187" s="222"/>
      <c r="H187" s="223"/>
      <c r="I187" s="221"/>
      <c r="J187" s="226"/>
      <c r="K187" s="226"/>
      <c r="L187" s="221"/>
      <c r="M187" s="221"/>
      <c r="N187" s="221"/>
      <c r="O187" s="221"/>
      <c r="P187" s="195">
        <f t="shared" si="52"/>
        <v>0</v>
      </c>
      <c r="Q187" s="184"/>
      <c r="W187" s="224"/>
      <c r="X187" s="297">
        <f t="shared" si="53"/>
        <v>0</v>
      </c>
      <c r="Y187" s="297">
        <f t="shared" si="54"/>
        <v>0</v>
      </c>
      <c r="Z187" s="224"/>
    </row>
    <row r="188" spans="1:26" x14ac:dyDescent="0.25">
      <c r="A188" s="184"/>
      <c r="B188" s="184" t="s">
        <v>202</v>
      </c>
      <c r="C188" s="212">
        <f>300000+990000+990000+550000+990000+295000+150000+100000+510000+975000+900000+550000</f>
        <v>7300000</v>
      </c>
      <c r="D188" s="221"/>
      <c r="E188" s="221"/>
      <c r="F188" s="221">
        <f>1361945.98+5938054.02</f>
        <v>7300000</v>
      </c>
      <c r="G188" s="222">
        <v>0</v>
      </c>
      <c r="H188" s="223">
        <v>0</v>
      </c>
      <c r="I188" s="221">
        <v>0</v>
      </c>
      <c r="J188" s="226">
        <v>0</v>
      </c>
      <c r="K188" s="226">
        <v>0</v>
      </c>
      <c r="L188" s="221">
        <f t="shared" ref="L188:L200" si="55">G188-H188-I188-J188-K188</f>
        <v>0</v>
      </c>
      <c r="M188" s="221">
        <f t="shared" ref="M188:M201" si="56">H188-N188-O188</f>
        <v>0</v>
      </c>
      <c r="N188" s="221"/>
      <c r="O188" s="221">
        <v>0</v>
      </c>
      <c r="P188" s="195">
        <f t="shared" si="52"/>
        <v>0</v>
      </c>
      <c r="Q188" s="184"/>
      <c r="S188" s="184" t="s">
        <v>249</v>
      </c>
      <c r="T188" s="184" t="s">
        <v>606</v>
      </c>
      <c r="U188" s="367" t="s">
        <v>607</v>
      </c>
      <c r="V188" s="184" t="s">
        <v>33</v>
      </c>
      <c r="W188" s="184" t="s">
        <v>11</v>
      </c>
      <c r="X188" s="297">
        <f t="shared" si="53"/>
        <v>0</v>
      </c>
      <c r="Y188" s="297">
        <f t="shared" si="54"/>
        <v>0</v>
      </c>
      <c r="Z188" s="184" t="s">
        <v>202</v>
      </c>
    </row>
    <row r="189" spans="1:26" x14ac:dyDescent="0.25">
      <c r="A189" s="184"/>
      <c r="B189" s="184" t="s">
        <v>203</v>
      </c>
      <c r="C189" s="212">
        <f>990000+990000+695000</f>
        <v>2675000</v>
      </c>
      <c r="D189" s="221">
        <v>0.02</v>
      </c>
      <c r="E189" s="221"/>
      <c r="F189" s="221">
        <f>889486.9+1052436.18+89262.15+515004.4+39277.38</f>
        <v>2585467.0099999998</v>
      </c>
      <c r="G189" s="222">
        <v>89533.010000000111</v>
      </c>
      <c r="H189" s="223">
        <v>89533.01</v>
      </c>
      <c r="I189" s="221">
        <f>[5]UMB!I275</f>
        <v>0</v>
      </c>
      <c r="J189" s="226">
        <f>[5]UMB!J275</f>
        <v>0</v>
      </c>
      <c r="K189" s="226">
        <f>[5]UMB!K275</f>
        <v>0</v>
      </c>
      <c r="L189" s="221">
        <f t="shared" si="55"/>
        <v>1.1641532182693481E-10</v>
      </c>
      <c r="M189" s="221">
        <f t="shared" si="56"/>
        <v>0</v>
      </c>
      <c r="N189" s="221">
        <v>0</v>
      </c>
      <c r="O189" s="221">
        <v>89533.01</v>
      </c>
      <c r="P189" s="195">
        <f t="shared" si="52"/>
        <v>1.3096723705530167E-10</v>
      </c>
      <c r="Q189" s="184"/>
      <c r="S189" s="184" t="s">
        <v>249</v>
      </c>
      <c r="T189" s="184" t="s">
        <v>606</v>
      </c>
      <c r="U189" s="367" t="s">
        <v>607</v>
      </c>
      <c r="V189" s="184" t="s">
        <v>33</v>
      </c>
      <c r="W189" s="184" t="s">
        <v>12</v>
      </c>
      <c r="X189" s="297">
        <f t="shared" si="53"/>
        <v>89533.01</v>
      </c>
      <c r="Y189" s="297">
        <f t="shared" si="54"/>
        <v>1.1641532182693481E-10</v>
      </c>
      <c r="Z189" s="184" t="s">
        <v>203</v>
      </c>
    </row>
    <row r="190" spans="1:26" x14ac:dyDescent="0.25">
      <c r="A190" s="184"/>
      <c r="B190" s="184" t="s">
        <v>204</v>
      </c>
      <c r="C190" s="212">
        <v>642000</v>
      </c>
      <c r="D190" s="221"/>
      <c r="E190" s="221"/>
      <c r="F190" s="222">
        <f>77261+564739</f>
        <v>642000</v>
      </c>
      <c r="G190" s="222">
        <v>0</v>
      </c>
      <c r="H190" s="223">
        <v>0</v>
      </c>
      <c r="I190" s="221">
        <v>0</v>
      </c>
      <c r="J190" s="226">
        <v>0</v>
      </c>
      <c r="K190" s="226">
        <v>0</v>
      </c>
      <c r="L190" s="221">
        <f t="shared" si="55"/>
        <v>0</v>
      </c>
      <c r="M190" s="221">
        <f t="shared" si="56"/>
        <v>0</v>
      </c>
      <c r="N190" s="221">
        <v>0</v>
      </c>
      <c r="O190" s="221">
        <v>0</v>
      </c>
      <c r="P190" s="195">
        <f t="shared" si="52"/>
        <v>0</v>
      </c>
      <c r="Q190" s="184"/>
      <c r="S190" s="184" t="s">
        <v>249</v>
      </c>
      <c r="T190" s="184" t="s">
        <v>606</v>
      </c>
      <c r="U190" s="367" t="s">
        <v>607</v>
      </c>
      <c r="V190" s="184" t="s">
        <v>33</v>
      </c>
      <c r="W190" s="184" t="s">
        <v>14</v>
      </c>
      <c r="X190" s="297">
        <f t="shared" si="53"/>
        <v>0</v>
      </c>
      <c r="Y190" s="297">
        <f t="shared" si="54"/>
        <v>0</v>
      </c>
      <c r="Z190" s="184" t="s">
        <v>204</v>
      </c>
    </row>
    <row r="191" spans="1:26" x14ac:dyDescent="0.25">
      <c r="A191" s="184"/>
      <c r="B191" s="184" t="s">
        <v>205</v>
      </c>
      <c r="C191" s="212">
        <v>1452000</v>
      </c>
      <c r="D191" s="221"/>
      <c r="E191" s="221"/>
      <c r="F191" s="221">
        <f>853408.33+498591.67+100000</f>
        <v>1452000</v>
      </c>
      <c r="G191" s="222">
        <v>0</v>
      </c>
      <c r="H191" s="223">
        <v>0</v>
      </c>
      <c r="I191" s="221">
        <v>0</v>
      </c>
      <c r="J191" s="226">
        <v>0</v>
      </c>
      <c r="K191" s="226">
        <v>0</v>
      </c>
      <c r="L191" s="221">
        <f t="shared" si="55"/>
        <v>0</v>
      </c>
      <c r="M191" s="221">
        <f t="shared" si="56"/>
        <v>0</v>
      </c>
      <c r="N191" s="221">
        <v>0</v>
      </c>
      <c r="O191" s="221">
        <v>0</v>
      </c>
      <c r="P191" s="195">
        <f t="shared" si="52"/>
        <v>0</v>
      </c>
      <c r="Q191" s="184"/>
      <c r="S191" s="184" t="s">
        <v>249</v>
      </c>
      <c r="T191" s="184" t="s">
        <v>606</v>
      </c>
      <c r="U191" s="367" t="s">
        <v>607</v>
      </c>
      <c r="V191" s="184" t="s">
        <v>33</v>
      </c>
      <c r="W191" s="184" t="s">
        <v>15</v>
      </c>
      <c r="X191" s="297">
        <f t="shared" si="53"/>
        <v>0</v>
      </c>
      <c r="Y191" s="297">
        <f t="shared" si="54"/>
        <v>0</v>
      </c>
      <c r="Z191" s="184" t="s">
        <v>205</v>
      </c>
    </row>
    <row r="192" spans="1:26" x14ac:dyDescent="0.25">
      <c r="A192" s="184"/>
      <c r="B192" s="184" t="s">
        <v>206</v>
      </c>
      <c r="C192" s="212">
        <v>317000</v>
      </c>
      <c r="D192" s="221"/>
      <c r="E192" s="221"/>
      <c r="F192" s="221">
        <f>317000</f>
        <v>317000</v>
      </c>
      <c r="G192" s="222">
        <v>0</v>
      </c>
      <c r="H192" s="223">
        <v>0</v>
      </c>
      <c r="I192" s="221">
        <v>0</v>
      </c>
      <c r="J192" s="226">
        <v>0</v>
      </c>
      <c r="K192" s="226">
        <v>0</v>
      </c>
      <c r="L192" s="221">
        <f t="shared" si="55"/>
        <v>0</v>
      </c>
      <c r="M192" s="221">
        <f t="shared" si="56"/>
        <v>0</v>
      </c>
      <c r="N192" s="221">
        <v>0</v>
      </c>
      <c r="O192" s="221">
        <v>0</v>
      </c>
      <c r="P192" s="195">
        <f t="shared" si="52"/>
        <v>0</v>
      </c>
      <c r="Q192" s="184"/>
      <c r="S192" s="184" t="s">
        <v>249</v>
      </c>
      <c r="T192" s="184" t="s">
        <v>606</v>
      </c>
      <c r="U192" s="367" t="s">
        <v>607</v>
      </c>
      <c r="V192" s="184" t="s">
        <v>33</v>
      </c>
      <c r="W192" s="184" t="s">
        <v>16</v>
      </c>
      <c r="X192" s="297">
        <f t="shared" si="53"/>
        <v>0</v>
      </c>
      <c r="Y192" s="297">
        <f t="shared" si="54"/>
        <v>0</v>
      </c>
      <c r="Z192" s="184" t="s">
        <v>206</v>
      </c>
    </row>
    <row r="193" spans="1:26" x14ac:dyDescent="0.25">
      <c r="A193" s="184"/>
      <c r="B193" s="184" t="s">
        <v>207</v>
      </c>
      <c r="C193" s="212">
        <f>154000+400000</f>
        <v>554000</v>
      </c>
      <c r="D193" s="221"/>
      <c r="E193" s="221"/>
      <c r="F193" s="221">
        <f>182583.42+275528.65+49660.29+12202.63+34025.01</f>
        <v>554000</v>
      </c>
      <c r="G193" s="222">
        <v>0</v>
      </c>
      <c r="H193" s="223">
        <v>0</v>
      </c>
      <c r="I193" s="221">
        <v>0</v>
      </c>
      <c r="J193" s="226">
        <v>0</v>
      </c>
      <c r="K193" s="226">
        <v>0</v>
      </c>
      <c r="L193" s="221">
        <f t="shared" si="55"/>
        <v>0</v>
      </c>
      <c r="M193" s="221">
        <f t="shared" si="56"/>
        <v>0</v>
      </c>
      <c r="N193" s="221">
        <v>0</v>
      </c>
      <c r="O193" s="221">
        <v>0</v>
      </c>
      <c r="P193" s="195">
        <f t="shared" si="52"/>
        <v>0</v>
      </c>
      <c r="Q193" s="184"/>
      <c r="S193" s="184" t="s">
        <v>249</v>
      </c>
      <c r="T193" s="184" t="s">
        <v>606</v>
      </c>
      <c r="U193" s="367" t="s">
        <v>607</v>
      </c>
      <c r="V193" s="184" t="s">
        <v>33</v>
      </c>
      <c r="W193" s="184" t="s">
        <v>17</v>
      </c>
      <c r="X193" s="297">
        <f t="shared" si="53"/>
        <v>0</v>
      </c>
      <c r="Y193" s="297">
        <f t="shared" si="54"/>
        <v>0</v>
      </c>
      <c r="Z193" s="184" t="s">
        <v>207</v>
      </c>
    </row>
    <row r="194" spans="1:26" x14ac:dyDescent="0.25">
      <c r="A194" s="184"/>
      <c r="B194" s="184" t="s">
        <v>208</v>
      </c>
      <c r="C194" s="212">
        <f>284000+125000</f>
        <v>409000</v>
      </c>
      <c r="D194" s="221"/>
      <c r="E194" s="221"/>
      <c r="F194" s="222">
        <f>349767.69+59232.31</f>
        <v>409000</v>
      </c>
      <c r="G194" s="222">
        <v>0</v>
      </c>
      <c r="H194" s="223">
        <v>0</v>
      </c>
      <c r="I194" s="221">
        <v>0</v>
      </c>
      <c r="J194" s="226">
        <v>0</v>
      </c>
      <c r="K194" s="226">
        <v>0</v>
      </c>
      <c r="L194" s="221">
        <f t="shared" si="55"/>
        <v>0</v>
      </c>
      <c r="M194" s="221">
        <f t="shared" si="56"/>
        <v>0</v>
      </c>
      <c r="N194" s="221">
        <v>0</v>
      </c>
      <c r="O194" s="221">
        <v>0</v>
      </c>
      <c r="P194" s="195">
        <f t="shared" si="52"/>
        <v>0</v>
      </c>
      <c r="Q194" s="184"/>
      <c r="S194" s="184" t="s">
        <v>249</v>
      </c>
      <c r="T194" s="184" t="s">
        <v>606</v>
      </c>
      <c r="U194" s="367" t="s">
        <v>607</v>
      </c>
      <c r="V194" s="184" t="s">
        <v>33</v>
      </c>
      <c r="W194" s="184" t="s">
        <v>18</v>
      </c>
      <c r="X194" s="297">
        <f t="shared" si="53"/>
        <v>0</v>
      </c>
      <c r="Y194" s="297">
        <f t="shared" si="54"/>
        <v>0</v>
      </c>
      <c r="Z194" s="184" t="s">
        <v>208</v>
      </c>
    </row>
    <row r="195" spans="1:26" x14ac:dyDescent="0.25">
      <c r="A195" s="184"/>
      <c r="B195" s="184" t="s">
        <v>209</v>
      </c>
      <c r="C195" s="212">
        <f>495000+150000</f>
        <v>645000</v>
      </c>
      <c r="D195" s="221"/>
      <c r="E195" s="221"/>
      <c r="F195" s="222">
        <f>218980.88+67737+325356.07+23047.08</f>
        <v>635121.02999999991</v>
      </c>
      <c r="G195" s="222">
        <v>9878.9700000000448</v>
      </c>
      <c r="H195" s="223">
        <v>9878.9699999999993</v>
      </c>
      <c r="I195" s="221">
        <f>[5]FSU!I166</f>
        <v>0</v>
      </c>
      <c r="J195" s="226">
        <f>[5]FSU!J166</f>
        <v>0</v>
      </c>
      <c r="K195" s="226">
        <f>[5]FSU!K166</f>
        <v>0</v>
      </c>
      <c r="L195" s="221">
        <f t="shared" si="55"/>
        <v>4.5474735088646412E-11</v>
      </c>
      <c r="M195" s="221">
        <f t="shared" si="56"/>
        <v>0</v>
      </c>
      <c r="N195" s="221">
        <v>0</v>
      </c>
      <c r="O195" s="221">
        <v>9878.9699999999993</v>
      </c>
      <c r="P195" s="195">
        <f t="shared" si="52"/>
        <v>4.3655745685100555E-11</v>
      </c>
      <c r="Q195" s="184"/>
      <c r="S195" s="184" t="s">
        <v>249</v>
      </c>
      <c r="T195" s="184" t="s">
        <v>606</v>
      </c>
      <c r="U195" s="367" t="s">
        <v>607</v>
      </c>
      <c r="V195" s="184" t="s">
        <v>33</v>
      </c>
      <c r="W195" s="184" t="s">
        <v>19</v>
      </c>
      <c r="X195" s="297">
        <f t="shared" si="53"/>
        <v>9878.9699999999993</v>
      </c>
      <c r="Y195" s="297">
        <f t="shared" si="54"/>
        <v>4.5474735088646412E-11</v>
      </c>
      <c r="Z195" s="184" t="s">
        <v>209</v>
      </c>
    </row>
    <row r="196" spans="1:26" x14ac:dyDescent="0.25">
      <c r="A196" s="184"/>
      <c r="B196" s="184" t="s">
        <v>226</v>
      </c>
      <c r="C196" s="212">
        <f>100000+236000+200000</f>
        <v>536000</v>
      </c>
      <c r="D196" s="221">
        <v>0.03</v>
      </c>
      <c r="E196" s="221"/>
      <c r="F196" s="221">
        <f>51450.65+149768.64+281527.91+41350.19+11902.64</f>
        <v>536000.02999999991</v>
      </c>
      <c r="G196" s="222">
        <v>0</v>
      </c>
      <c r="H196" s="223">
        <v>0</v>
      </c>
      <c r="I196" s="221">
        <v>0</v>
      </c>
      <c r="J196" s="226">
        <v>0</v>
      </c>
      <c r="K196" s="226">
        <v>0</v>
      </c>
      <c r="L196" s="221">
        <f t="shared" si="55"/>
        <v>0</v>
      </c>
      <c r="M196" s="221">
        <f t="shared" si="56"/>
        <v>0</v>
      </c>
      <c r="N196" s="221"/>
      <c r="O196" s="221">
        <v>0</v>
      </c>
      <c r="P196" s="195">
        <f t="shared" si="52"/>
        <v>1.1641532182693481E-10</v>
      </c>
      <c r="Q196" s="184"/>
      <c r="S196" s="184" t="s">
        <v>249</v>
      </c>
      <c r="T196" s="184" t="s">
        <v>606</v>
      </c>
      <c r="U196" s="367" t="s">
        <v>607</v>
      </c>
      <c r="V196" s="184" t="s">
        <v>33</v>
      </c>
      <c r="W196" s="184" t="s">
        <v>20</v>
      </c>
      <c r="X196" s="297">
        <f t="shared" si="53"/>
        <v>0</v>
      </c>
      <c r="Y196" s="297">
        <f t="shared" si="54"/>
        <v>0</v>
      </c>
      <c r="Z196" s="184" t="s">
        <v>226</v>
      </c>
    </row>
    <row r="197" spans="1:26" x14ac:dyDescent="0.25">
      <c r="A197" s="184"/>
      <c r="B197" s="184" t="s">
        <v>211</v>
      </c>
      <c r="C197" s="212">
        <f>900000+250000+439000</f>
        <v>1589000</v>
      </c>
      <c r="D197" s="221"/>
      <c r="E197" s="221"/>
      <c r="F197" s="221">
        <f>621656.31+967343.69</f>
        <v>1589000</v>
      </c>
      <c r="G197" s="222">
        <v>0</v>
      </c>
      <c r="H197" s="223">
        <v>0</v>
      </c>
      <c r="I197" s="221">
        <f>[5]TU!I208+[5]TU!I215+[5]TU!I221</f>
        <v>0</v>
      </c>
      <c r="J197" s="226">
        <f>[5]TU!J208+[5]TU!J215+[5]TU!J221</f>
        <v>0</v>
      </c>
      <c r="K197" s="226">
        <f>[5]TU!K208+[5]TU!K215+[5]TU!K221</f>
        <v>0</v>
      </c>
      <c r="L197" s="221">
        <f t="shared" si="55"/>
        <v>0</v>
      </c>
      <c r="M197" s="221">
        <f t="shared" si="56"/>
        <v>0</v>
      </c>
      <c r="N197" s="221">
        <v>0</v>
      </c>
      <c r="O197" s="221">
        <v>0</v>
      </c>
      <c r="P197" s="195">
        <f t="shared" si="52"/>
        <v>0</v>
      </c>
      <c r="Q197" s="184"/>
      <c r="S197" s="184" t="s">
        <v>249</v>
      </c>
      <c r="T197" s="184" t="s">
        <v>606</v>
      </c>
      <c r="U197" s="367" t="s">
        <v>607</v>
      </c>
      <c r="V197" s="184" t="s">
        <v>33</v>
      </c>
      <c r="W197" s="184" t="s">
        <v>21</v>
      </c>
      <c r="X197" s="297">
        <f t="shared" si="53"/>
        <v>0</v>
      </c>
      <c r="Y197" s="297">
        <f t="shared" si="54"/>
        <v>0</v>
      </c>
      <c r="Z197" s="184" t="s">
        <v>211</v>
      </c>
    </row>
    <row r="198" spans="1:26" x14ac:dyDescent="0.25">
      <c r="A198" s="184"/>
      <c r="B198" s="184" t="s">
        <v>212</v>
      </c>
      <c r="C198" s="212">
        <v>418000</v>
      </c>
      <c r="D198" s="221"/>
      <c r="E198" s="221"/>
      <c r="F198" s="221">
        <f>17749.93+363435.12+18289.79+18525.16</f>
        <v>417999.99999999994</v>
      </c>
      <c r="G198" s="222">
        <v>0</v>
      </c>
      <c r="H198" s="223">
        <v>0</v>
      </c>
      <c r="I198" s="221">
        <f>[5]UBalt!I148</f>
        <v>0</v>
      </c>
      <c r="J198" s="226">
        <f>[5]UBalt!J148</f>
        <v>0</v>
      </c>
      <c r="K198" s="226">
        <f>[5]UBalt!K148</f>
        <v>0</v>
      </c>
      <c r="L198" s="221">
        <f t="shared" si="55"/>
        <v>0</v>
      </c>
      <c r="M198" s="221">
        <f t="shared" si="56"/>
        <v>0</v>
      </c>
      <c r="N198" s="221"/>
      <c r="O198" s="221">
        <v>0</v>
      </c>
      <c r="P198" s="195">
        <f t="shared" si="52"/>
        <v>5.8207660913467407E-11</v>
      </c>
      <c r="Q198" s="184"/>
      <c r="S198" s="184" t="s">
        <v>249</v>
      </c>
      <c r="T198" s="184" t="s">
        <v>606</v>
      </c>
      <c r="U198" s="367" t="s">
        <v>607</v>
      </c>
      <c r="V198" s="184" t="s">
        <v>33</v>
      </c>
      <c r="W198" s="184" t="s">
        <v>22</v>
      </c>
      <c r="X198" s="297">
        <f t="shared" si="53"/>
        <v>0</v>
      </c>
      <c r="Y198" s="297">
        <f t="shared" si="54"/>
        <v>0</v>
      </c>
      <c r="Z198" s="184" t="s">
        <v>212</v>
      </c>
    </row>
    <row r="199" spans="1:26" x14ac:dyDescent="0.25">
      <c r="A199" s="184"/>
      <c r="B199" s="224" t="s">
        <v>216</v>
      </c>
      <c r="C199" s="212">
        <v>463000</v>
      </c>
      <c r="D199" s="194"/>
      <c r="E199" s="221">
        <f>82000+829190.54+288809.46-100000-1200000-250000-113000</f>
        <v>-463000</v>
      </c>
      <c r="F199" s="226"/>
      <c r="G199" s="222">
        <v>0</v>
      </c>
      <c r="H199" s="223"/>
      <c r="I199" s="221"/>
      <c r="J199" s="226"/>
      <c r="K199" s="226"/>
      <c r="L199" s="221"/>
      <c r="M199" s="221">
        <f t="shared" si="56"/>
        <v>0</v>
      </c>
      <c r="N199" s="221"/>
      <c r="O199" s="221"/>
      <c r="P199" s="195">
        <f t="shared" si="52"/>
        <v>0</v>
      </c>
      <c r="Q199" s="184"/>
      <c r="S199" s="184" t="s">
        <v>249</v>
      </c>
      <c r="T199" s="184" t="s">
        <v>606</v>
      </c>
      <c r="U199" s="367" t="s">
        <v>607</v>
      </c>
      <c r="V199" s="184" t="s">
        <v>33</v>
      </c>
      <c r="W199" s="224" t="s">
        <v>56</v>
      </c>
      <c r="X199" s="297">
        <f t="shared" si="53"/>
        <v>0</v>
      </c>
      <c r="Y199" s="297">
        <f t="shared" si="54"/>
        <v>0</v>
      </c>
      <c r="Z199" s="224" t="s">
        <v>216</v>
      </c>
    </row>
    <row r="200" spans="1:26" x14ac:dyDescent="0.25">
      <c r="A200" s="184"/>
      <c r="B200" s="184" t="s">
        <v>266</v>
      </c>
      <c r="C200" s="225"/>
      <c r="D200" s="194"/>
      <c r="E200" s="226">
        <f>100000+1200000</f>
        <v>1300000</v>
      </c>
      <c r="F200" s="221">
        <f>610722.96+220997.45+425919.2+42360.39</f>
        <v>1299999.9999999998</v>
      </c>
      <c r="G200" s="222">
        <v>0</v>
      </c>
      <c r="H200" s="223">
        <v>0</v>
      </c>
      <c r="I200" s="221">
        <v>0</v>
      </c>
      <c r="J200" s="226">
        <v>0</v>
      </c>
      <c r="K200" s="226">
        <v>0</v>
      </c>
      <c r="L200" s="221">
        <f t="shared" si="55"/>
        <v>0</v>
      </c>
      <c r="M200" s="221">
        <f t="shared" si="56"/>
        <v>0</v>
      </c>
      <c r="N200" s="221"/>
      <c r="O200" s="221">
        <v>0</v>
      </c>
      <c r="P200" s="195">
        <f t="shared" si="52"/>
        <v>2.3283064365386963E-10</v>
      </c>
      <c r="Q200" s="184"/>
      <c r="S200" s="184" t="s">
        <v>249</v>
      </c>
      <c r="T200" s="184" t="s">
        <v>606</v>
      </c>
      <c r="U200" s="367" t="s">
        <v>607</v>
      </c>
      <c r="V200" s="184" t="s">
        <v>33</v>
      </c>
      <c r="W200" s="184" t="s">
        <v>18</v>
      </c>
      <c r="X200" s="297">
        <f t="shared" si="53"/>
        <v>0</v>
      </c>
      <c r="Y200" s="297">
        <f t="shared" si="54"/>
        <v>0</v>
      </c>
      <c r="Z200" s="184" t="s">
        <v>266</v>
      </c>
    </row>
    <row r="201" spans="1:26" x14ac:dyDescent="0.25">
      <c r="A201" s="184"/>
      <c r="B201" s="184" t="s">
        <v>245</v>
      </c>
      <c r="C201" s="225"/>
      <c r="D201" s="194"/>
      <c r="E201" s="226">
        <v>250000</v>
      </c>
      <c r="F201" s="221">
        <f>65573.85+184426.15</f>
        <v>250000</v>
      </c>
      <c r="G201" s="222">
        <v>0</v>
      </c>
      <c r="H201" s="223">
        <v>0</v>
      </c>
      <c r="I201" s="221"/>
      <c r="J201" s="226"/>
      <c r="K201" s="226">
        <f>'[5]USM &amp; COI'!K84</f>
        <v>0</v>
      </c>
      <c r="L201" s="221">
        <f>G201-H201-I201-J201-K201</f>
        <v>0</v>
      </c>
      <c r="M201" s="221">
        <f t="shared" si="56"/>
        <v>0</v>
      </c>
      <c r="N201" s="221"/>
      <c r="O201" s="221">
        <v>0</v>
      </c>
      <c r="P201" s="195">
        <f t="shared" si="52"/>
        <v>0</v>
      </c>
      <c r="Q201" s="184"/>
      <c r="S201" s="184" t="s">
        <v>249</v>
      </c>
      <c r="T201" s="184" t="s">
        <v>606</v>
      </c>
      <c r="U201" s="367" t="s">
        <v>607</v>
      </c>
      <c r="V201" s="184" t="s">
        <v>33</v>
      </c>
      <c r="W201" s="184" t="s">
        <v>608</v>
      </c>
      <c r="X201" s="297">
        <f t="shared" si="53"/>
        <v>0</v>
      </c>
      <c r="Y201" s="297">
        <f t="shared" si="54"/>
        <v>0</v>
      </c>
      <c r="Z201" s="184" t="s">
        <v>245</v>
      </c>
    </row>
    <row r="202" spans="1:26" x14ac:dyDescent="0.25">
      <c r="A202" s="184"/>
      <c r="B202" s="184"/>
      <c r="C202" s="212"/>
      <c r="D202" s="213"/>
      <c r="E202" s="213"/>
      <c r="F202" s="221"/>
      <c r="G202" s="215"/>
      <c r="H202" s="216"/>
      <c r="I202" s="213"/>
      <c r="J202" s="217"/>
      <c r="K202" s="217"/>
      <c r="L202" s="213"/>
      <c r="M202" s="213"/>
      <c r="N202" s="213"/>
      <c r="O202" s="213"/>
      <c r="P202" s="184"/>
      <c r="Q202" s="184"/>
    </row>
    <row r="203" spans="1:26" ht="13.8" thickBot="1" x14ac:dyDescent="0.3">
      <c r="A203" s="184"/>
      <c r="B203" s="227" t="s">
        <v>267</v>
      </c>
      <c r="C203" s="228">
        <f t="shared" ref="C203:O203" si="57">SUM(C184:C202)</f>
        <v>54500000</v>
      </c>
      <c r="D203" s="228">
        <f t="shared" si="57"/>
        <v>0.05</v>
      </c>
      <c r="E203" s="228">
        <f t="shared" si="57"/>
        <v>1087000</v>
      </c>
      <c r="F203" s="251">
        <f t="shared" si="57"/>
        <v>55487588.07</v>
      </c>
      <c r="G203" s="228">
        <f t="shared" si="57"/>
        <v>99411.980000000156</v>
      </c>
      <c r="H203" s="252">
        <f t="shared" si="57"/>
        <v>99411.98</v>
      </c>
      <c r="I203" s="228">
        <f t="shared" si="57"/>
        <v>0</v>
      </c>
      <c r="J203" s="228">
        <f t="shared" si="57"/>
        <v>0</v>
      </c>
      <c r="K203" s="228">
        <f t="shared" si="57"/>
        <v>0</v>
      </c>
      <c r="L203" s="228">
        <f t="shared" si="57"/>
        <v>1.6189005691558123E-10</v>
      </c>
      <c r="M203" s="228">
        <f t="shared" si="57"/>
        <v>0</v>
      </c>
      <c r="N203" s="228">
        <f t="shared" si="57"/>
        <v>0</v>
      </c>
      <c r="O203" s="228">
        <f t="shared" si="57"/>
        <v>99411.98</v>
      </c>
      <c r="P203" s="195">
        <f>C203+D203+E203-F203-G203</f>
        <v>-3.434251993894577E-9</v>
      </c>
      <c r="Q203" s="184"/>
      <c r="W203" s="224"/>
      <c r="X203" s="184"/>
      <c r="Y203" s="184"/>
    </row>
    <row r="204" spans="1:26" ht="13.8" thickTop="1" x14ac:dyDescent="0.25">
      <c r="A204" s="184"/>
      <c r="B204" s="184"/>
      <c r="C204" s="212"/>
      <c r="D204" s="213"/>
      <c r="E204" s="213"/>
      <c r="F204" s="250"/>
      <c r="G204" s="215"/>
      <c r="H204" s="216"/>
      <c r="I204" s="213"/>
      <c r="J204" s="217"/>
      <c r="K204" s="217"/>
      <c r="L204" s="213"/>
      <c r="M204" s="213"/>
      <c r="N204" s="213"/>
      <c r="O204" s="213"/>
      <c r="P204" s="184"/>
      <c r="Q204" s="184"/>
    </row>
    <row r="205" spans="1:26" x14ac:dyDescent="0.25">
      <c r="A205" s="224" t="s">
        <v>198</v>
      </c>
      <c r="B205" s="184"/>
      <c r="C205" s="212"/>
      <c r="D205" s="213"/>
      <c r="E205" s="213"/>
      <c r="F205" s="221"/>
      <c r="G205" s="215"/>
      <c r="H205" s="216"/>
      <c r="I205" s="215"/>
      <c r="J205" s="215"/>
      <c r="K205" s="215"/>
      <c r="L205" s="213"/>
      <c r="M205" s="213"/>
      <c r="N205" s="213"/>
      <c r="O205" s="213"/>
      <c r="P205" s="184"/>
      <c r="Q205" s="184"/>
    </row>
    <row r="206" spans="1:26" x14ac:dyDescent="0.25">
      <c r="A206" s="184"/>
      <c r="B206" s="184" t="s">
        <v>268</v>
      </c>
      <c r="C206" s="212">
        <v>5000000</v>
      </c>
      <c r="D206" s="213"/>
      <c r="E206" s="213"/>
      <c r="F206" s="221">
        <f>2386505.39+1680899.39+112315.64+37609.43+444747.89+15591.94+322330.32</f>
        <v>5000000.0000000009</v>
      </c>
      <c r="G206" s="231">
        <v>0</v>
      </c>
      <c r="H206" s="232">
        <v>0</v>
      </c>
      <c r="I206" s="231">
        <f>[5]UMCP!I316</f>
        <v>0</v>
      </c>
      <c r="J206" s="231">
        <f>[5]UMCP!J316</f>
        <v>0</v>
      </c>
      <c r="K206" s="231">
        <f>[5]UMCP!K316</f>
        <v>0</v>
      </c>
      <c r="L206" s="221">
        <f>G206-H206-I206-J206-K206</f>
        <v>0</v>
      </c>
      <c r="M206" s="221"/>
      <c r="N206" s="221"/>
      <c r="O206" s="221">
        <f>H204+K204</f>
        <v>0</v>
      </c>
      <c r="P206" s="184"/>
      <c r="Q206" s="184"/>
      <c r="W206" s="184" t="s">
        <v>11</v>
      </c>
      <c r="Z206" s="184" t="s">
        <v>268</v>
      </c>
    </row>
    <row r="207" spans="1:26" x14ac:dyDescent="0.25">
      <c r="A207" s="184"/>
      <c r="B207" s="184" t="s">
        <v>269</v>
      </c>
      <c r="C207" s="212">
        <v>10000000</v>
      </c>
      <c r="D207" s="213"/>
      <c r="E207" s="213"/>
      <c r="F207" s="221">
        <f>202050.59+8360021.99+258271.37+1179656.05</f>
        <v>10000000</v>
      </c>
      <c r="G207" s="231">
        <v>0</v>
      </c>
      <c r="H207" s="232">
        <v>0</v>
      </c>
      <c r="I207" s="231">
        <v>0</v>
      </c>
      <c r="J207" s="231">
        <v>0</v>
      </c>
      <c r="K207" s="231">
        <v>0</v>
      </c>
      <c r="L207" s="221">
        <f>G207-H207-I207-J207-K207</f>
        <v>0</v>
      </c>
      <c r="M207" s="221"/>
      <c r="N207" s="221"/>
      <c r="O207" s="221">
        <f>H205+K205</f>
        <v>0</v>
      </c>
      <c r="P207" s="184"/>
      <c r="Q207" s="184"/>
      <c r="W207" s="184" t="s">
        <v>11</v>
      </c>
      <c r="Z207" s="184" t="s">
        <v>269</v>
      </c>
    </row>
    <row r="208" spans="1:26" x14ac:dyDescent="0.25">
      <c r="A208" s="184"/>
      <c r="B208" s="224" t="s">
        <v>201</v>
      </c>
      <c r="C208" s="212"/>
      <c r="D208" s="213"/>
      <c r="E208" s="213"/>
      <c r="F208" s="221"/>
      <c r="G208" s="215"/>
      <c r="H208" s="216"/>
      <c r="I208" s="215"/>
      <c r="J208" s="215"/>
      <c r="K208" s="215"/>
      <c r="L208" s="221"/>
      <c r="M208" s="221"/>
      <c r="N208" s="221"/>
      <c r="O208" s="221"/>
      <c r="P208" s="184"/>
      <c r="Q208" s="184"/>
      <c r="W208" s="224"/>
      <c r="Z208" s="224"/>
    </row>
    <row r="209" spans="1:26" x14ac:dyDescent="0.25">
      <c r="A209" s="184"/>
      <c r="B209" s="184" t="s">
        <v>202</v>
      </c>
      <c r="C209" s="221">
        <v>7300000</v>
      </c>
      <c r="D209" s="221"/>
      <c r="E209" s="213"/>
      <c r="F209" s="221">
        <f>7300000</f>
        <v>7300000</v>
      </c>
      <c r="G209" s="222">
        <v>0</v>
      </c>
      <c r="H209" s="223">
        <v>0</v>
      </c>
      <c r="I209" s="222">
        <v>0</v>
      </c>
      <c r="J209" s="222">
        <v>0</v>
      </c>
      <c r="K209" s="222">
        <v>0</v>
      </c>
      <c r="L209" s="221">
        <f t="shared" ref="L209:L222" si="58">G209-H209-I209-J209-K209</f>
        <v>0</v>
      </c>
      <c r="M209" s="221"/>
      <c r="N209" s="221"/>
      <c r="O209" s="221">
        <f>H207+K207</f>
        <v>0</v>
      </c>
      <c r="P209" s="184"/>
      <c r="Q209" s="184"/>
      <c r="W209" s="184" t="s">
        <v>11</v>
      </c>
      <c r="X209" s="297">
        <f t="shared" ref="X209:X223" si="59">H209</f>
        <v>0</v>
      </c>
      <c r="Y209" s="297">
        <f t="shared" ref="Y209:Y223" si="60">L209</f>
        <v>0</v>
      </c>
      <c r="Z209" s="184" t="s">
        <v>202</v>
      </c>
    </row>
    <row r="210" spans="1:26" x14ac:dyDescent="0.25">
      <c r="A210" s="184"/>
      <c r="B210" s="184" t="s">
        <v>203</v>
      </c>
      <c r="C210" s="221">
        <f>990000+990000+695000</f>
        <v>2675000</v>
      </c>
      <c r="D210" s="221"/>
      <c r="E210" s="213"/>
      <c r="F210" s="221">
        <f>17183.71+229661+131826.35+690398.91+1500831.83+2485+49881.91+26243.19+10483.21</f>
        <v>2658995.11</v>
      </c>
      <c r="G210" s="222">
        <v>16004.889999999719</v>
      </c>
      <c r="H210" s="223">
        <v>16004.89</v>
      </c>
      <c r="I210" s="222">
        <f>[5]UMB!I295</f>
        <v>0</v>
      </c>
      <c r="J210" s="222">
        <f>[5]UMB!J295</f>
        <v>0</v>
      </c>
      <c r="K210" s="222">
        <f>[5]UMB!K295</f>
        <v>0</v>
      </c>
      <c r="L210" s="221">
        <f t="shared" si="58"/>
        <v>-2.801243681460619E-10</v>
      </c>
      <c r="M210" s="221">
        <f t="shared" ref="M210:M219" si="61">H210-N210-O210</f>
        <v>0</v>
      </c>
      <c r="N210" s="221">
        <v>0</v>
      </c>
      <c r="O210" s="221">
        <v>16004.89</v>
      </c>
      <c r="P210" s="195">
        <f t="shared" ref="P210:P219" si="62">C210+D210+E210-F210-G210</f>
        <v>4.1109160520136356E-10</v>
      </c>
      <c r="Q210" s="184"/>
      <c r="S210" s="184" t="s">
        <v>249</v>
      </c>
      <c r="T210" s="184" t="s">
        <v>606</v>
      </c>
      <c r="U210" s="367" t="s">
        <v>607</v>
      </c>
      <c r="V210" s="184" t="s">
        <v>617</v>
      </c>
      <c r="W210" s="184" t="s">
        <v>12</v>
      </c>
      <c r="X210" s="297">
        <f t="shared" si="59"/>
        <v>16004.89</v>
      </c>
      <c r="Y210" s="297">
        <f t="shared" si="60"/>
        <v>-2.801243681460619E-10</v>
      </c>
      <c r="Z210" s="184" t="s">
        <v>203</v>
      </c>
    </row>
    <row r="211" spans="1:26" x14ac:dyDescent="0.25">
      <c r="A211" s="184"/>
      <c r="B211" s="184" t="s">
        <v>204</v>
      </c>
      <c r="C211" s="221">
        <v>642000</v>
      </c>
      <c r="D211" s="185"/>
      <c r="E211" s="221">
        <v>-569.73</v>
      </c>
      <c r="F211" s="221">
        <f>641430.27</f>
        <v>641430.27</v>
      </c>
      <c r="G211" s="222">
        <v>-1.8644641386345029E-11</v>
      </c>
      <c r="H211" s="223">
        <v>0</v>
      </c>
      <c r="I211" s="222">
        <f>[5]UMES!I143</f>
        <v>0</v>
      </c>
      <c r="J211" s="222">
        <f>[5]UMES!J143</f>
        <v>0</v>
      </c>
      <c r="K211" s="222">
        <f>[5]UMES!K143</f>
        <v>0</v>
      </c>
      <c r="L211" s="221">
        <f t="shared" si="58"/>
        <v>-1.8644641386345029E-11</v>
      </c>
      <c r="M211" s="221">
        <f t="shared" si="61"/>
        <v>0</v>
      </c>
      <c r="N211" s="221">
        <v>0</v>
      </c>
      <c r="O211" s="221">
        <v>0</v>
      </c>
      <c r="P211" s="195">
        <f t="shared" si="62"/>
        <v>1.8644641386345029E-11</v>
      </c>
      <c r="Q211" s="184"/>
      <c r="S211" s="184" t="s">
        <v>249</v>
      </c>
      <c r="T211" s="184" t="s">
        <v>606</v>
      </c>
      <c r="U211" s="367" t="s">
        <v>607</v>
      </c>
      <c r="V211" s="184" t="s">
        <v>617</v>
      </c>
      <c r="W211" s="184" t="s">
        <v>14</v>
      </c>
      <c r="X211" s="297">
        <f t="shared" si="59"/>
        <v>0</v>
      </c>
      <c r="Y211" s="297">
        <f t="shared" si="60"/>
        <v>-1.8644641386345029E-11</v>
      </c>
      <c r="Z211" s="184" t="s">
        <v>204</v>
      </c>
    </row>
    <row r="212" spans="1:26" x14ac:dyDescent="0.25">
      <c r="A212" s="184"/>
      <c r="B212" s="184" t="s">
        <v>205</v>
      </c>
      <c r="C212" s="221">
        <v>1452000</v>
      </c>
      <c r="D212" s="221"/>
      <c r="E212" s="213"/>
      <c r="F212" s="221">
        <f>1352000+100000</f>
        <v>1452000</v>
      </c>
      <c r="G212" s="222">
        <v>0</v>
      </c>
      <c r="H212" s="223">
        <v>0</v>
      </c>
      <c r="I212" s="222">
        <v>0</v>
      </c>
      <c r="J212" s="222">
        <v>0</v>
      </c>
      <c r="K212" s="222">
        <v>0</v>
      </c>
      <c r="L212" s="221">
        <f t="shared" si="58"/>
        <v>0</v>
      </c>
      <c r="M212" s="221">
        <f t="shared" si="61"/>
        <v>0</v>
      </c>
      <c r="N212" s="221">
        <v>0</v>
      </c>
      <c r="O212" s="221">
        <v>0</v>
      </c>
      <c r="P212" s="195">
        <f t="shared" si="62"/>
        <v>0</v>
      </c>
      <c r="Q212" s="184"/>
      <c r="S212" s="184" t="s">
        <v>249</v>
      </c>
      <c r="T212" s="184" t="s">
        <v>606</v>
      </c>
      <c r="U212" s="367" t="s">
        <v>607</v>
      </c>
      <c r="V212" s="184" t="s">
        <v>617</v>
      </c>
      <c r="W212" s="184" t="s">
        <v>15</v>
      </c>
      <c r="X212" s="297">
        <f t="shared" si="59"/>
        <v>0</v>
      </c>
      <c r="Y212" s="297">
        <f t="shared" si="60"/>
        <v>0</v>
      </c>
      <c r="Z212" s="184" t="s">
        <v>205</v>
      </c>
    </row>
    <row r="213" spans="1:26" x14ac:dyDescent="0.25">
      <c r="A213" s="184"/>
      <c r="B213" s="184" t="s">
        <v>206</v>
      </c>
      <c r="C213" s="221">
        <v>317000</v>
      </c>
      <c r="D213" s="221"/>
      <c r="E213" s="213"/>
      <c r="F213" s="222">
        <f>188967.76+128032.24</f>
        <v>317000</v>
      </c>
      <c r="G213" s="222">
        <v>0</v>
      </c>
      <c r="H213" s="223">
        <v>0</v>
      </c>
      <c r="I213" s="222">
        <v>0</v>
      </c>
      <c r="J213" s="222">
        <v>0</v>
      </c>
      <c r="K213" s="222">
        <v>0</v>
      </c>
      <c r="L213" s="221">
        <f t="shared" si="58"/>
        <v>0</v>
      </c>
      <c r="M213" s="221">
        <f t="shared" si="61"/>
        <v>0</v>
      </c>
      <c r="N213" s="221">
        <v>0</v>
      </c>
      <c r="O213" s="221">
        <v>0</v>
      </c>
      <c r="P213" s="195">
        <f t="shared" si="62"/>
        <v>0</v>
      </c>
      <c r="Q213" s="184"/>
      <c r="S213" s="184" t="s">
        <v>249</v>
      </c>
      <c r="T213" s="184" t="s">
        <v>606</v>
      </c>
      <c r="U213" s="367" t="s">
        <v>607</v>
      </c>
      <c r="V213" s="184" t="s">
        <v>617</v>
      </c>
      <c r="W213" s="184" t="s">
        <v>16</v>
      </c>
      <c r="X213" s="297">
        <f t="shared" si="59"/>
        <v>0</v>
      </c>
      <c r="Y213" s="297">
        <f t="shared" si="60"/>
        <v>0</v>
      </c>
      <c r="Z213" s="184" t="s">
        <v>206</v>
      </c>
    </row>
    <row r="214" spans="1:26" x14ac:dyDescent="0.25">
      <c r="A214" s="184"/>
      <c r="B214" s="184" t="s">
        <v>207</v>
      </c>
      <c r="C214" s="221">
        <v>554000</v>
      </c>
      <c r="D214" s="221"/>
      <c r="E214" s="213"/>
      <c r="F214" s="221">
        <f>494268.28+57168.93+2562.79</f>
        <v>554000.00000000012</v>
      </c>
      <c r="G214" s="222">
        <v>0</v>
      </c>
      <c r="H214" s="223">
        <v>0</v>
      </c>
      <c r="I214" s="222">
        <v>0</v>
      </c>
      <c r="J214" s="222">
        <v>0</v>
      </c>
      <c r="K214" s="222">
        <v>0</v>
      </c>
      <c r="L214" s="221">
        <f t="shared" si="58"/>
        <v>0</v>
      </c>
      <c r="M214" s="221">
        <f t="shared" si="61"/>
        <v>0</v>
      </c>
      <c r="N214" s="221">
        <v>0</v>
      </c>
      <c r="O214" s="221">
        <v>0</v>
      </c>
      <c r="P214" s="195">
        <f t="shared" si="62"/>
        <v>-1.1641532182693481E-10</v>
      </c>
      <c r="Q214" s="184"/>
      <c r="S214" s="184" t="s">
        <v>249</v>
      </c>
      <c r="T214" s="184" t="s">
        <v>606</v>
      </c>
      <c r="U214" s="367" t="s">
        <v>607</v>
      </c>
      <c r="V214" s="184" t="s">
        <v>617</v>
      </c>
      <c r="W214" s="184" t="s">
        <v>17</v>
      </c>
      <c r="X214" s="297">
        <f t="shared" si="59"/>
        <v>0</v>
      </c>
      <c r="Y214" s="297">
        <f t="shared" si="60"/>
        <v>0</v>
      </c>
      <c r="Z214" s="184" t="s">
        <v>207</v>
      </c>
    </row>
    <row r="215" spans="1:26" x14ac:dyDescent="0.25">
      <c r="A215" s="184"/>
      <c r="B215" s="184" t="s">
        <v>208</v>
      </c>
      <c r="C215" s="221">
        <f>284000+125000</f>
        <v>409000</v>
      </c>
      <c r="D215" s="226">
        <f>8568.82+8657.18</f>
        <v>17226</v>
      </c>
      <c r="E215" s="213"/>
      <c r="F215" s="226">
        <f>333494.01+10775.25+81956.74</f>
        <v>426226</v>
      </c>
      <c r="G215" s="222">
        <v>0</v>
      </c>
      <c r="H215" s="223">
        <v>0</v>
      </c>
      <c r="I215" s="222">
        <v>0</v>
      </c>
      <c r="J215" s="222">
        <v>0</v>
      </c>
      <c r="K215" s="222">
        <v>0</v>
      </c>
      <c r="L215" s="221">
        <f t="shared" si="58"/>
        <v>0</v>
      </c>
      <c r="M215" s="221">
        <f t="shared" si="61"/>
        <v>0</v>
      </c>
      <c r="N215" s="221">
        <v>0</v>
      </c>
      <c r="O215" s="221">
        <v>0</v>
      </c>
      <c r="P215" s="195">
        <f t="shared" si="62"/>
        <v>0</v>
      </c>
      <c r="Q215" s="184"/>
      <c r="S215" s="184" t="s">
        <v>249</v>
      </c>
      <c r="T215" s="184" t="s">
        <v>606</v>
      </c>
      <c r="U215" s="367" t="s">
        <v>607</v>
      </c>
      <c r="V215" s="184" t="s">
        <v>617</v>
      </c>
      <c r="W215" s="184" t="s">
        <v>18</v>
      </c>
      <c r="X215" s="297">
        <f t="shared" si="59"/>
        <v>0</v>
      </c>
      <c r="Y215" s="297">
        <f t="shared" si="60"/>
        <v>0</v>
      </c>
      <c r="Z215" s="184" t="s">
        <v>208</v>
      </c>
    </row>
    <row r="216" spans="1:26" x14ac:dyDescent="0.25">
      <c r="A216" s="184"/>
      <c r="B216" s="184" t="s">
        <v>209</v>
      </c>
      <c r="C216" s="221">
        <f>450000+195000</f>
        <v>645000</v>
      </c>
      <c r="D216" s="221"/>
      <c r="E216" s="213"/>
      <c r="F216" s="221">
        <f>34127.16+527404.43+3750+79718.41</f>
        <v>645000.00000000012</v>
      </c>
      <c r="G216" s="222">
        <v>0</v>
      </c>
      <c r="H216" s="223">
        <v>0</v>
      </c>
      <c r="I216" s="222">
        <v>0</v>
      </c>
      <c r="J216" s="222">
        <v>0</v>
      </c>
      <c r="K216" s="222">
        <v>0</v>
      </c>
      <c r="L216" s="221">
        <f t="shared" si="58"/>
        <v>0</v>
      </c>
      <c r="M216" s="221">
        <f t="shared" si="61"/>
        <v>0</v>
      </c>
      <c r="N216" s="221">
        <v>0</v>
      </c>
      <c r="O216" s="221">
        <v>0</v>
      </c>
      <c r="P216" s="195">
        <f t="shared" si="62"/>
        <v>-1.1641532182693481E-10</v>
      </c>
      <c r="Q216" s="184"/>
      <c r="S216" s="184" t="s">
        <v>249</v>
      </c>
      <c r="T216" s="184" t="s">
        <v>606</v>
      </c>
      <c r="U216" s="367" t="s">
        <v>607</v>
      </c>
      <c r="V216" s="184" t="s">
        <v>617</v>
      </c>
      <c r="W216" s="184" t="s">
        <v>19</v>
      </c>
      <c r="X216" s="297">
        <f t="shared" si="59"/>
        <v>0</v>
      </c>
      <c r="Y216" s="297">
        <f t="shared" si="60"/>
        <v>0</v>
      </c>
      <c r="Z216" s="184" t="s">
        <v>209</v>
      </c>
    </row>
    <row r="217" spans="1:26" x14ac:dyDescent="0.25">
      <c r="A217" s="184"/>
      <c r="B217" s="184" t="s">
        <v>226</v>
      </c>
      <c r="C217" s="221">
        <f>300000+236000</f>
        <v>536000</v>
      </c>
      <c r="D217" s="221"/>
      <c r="E217" s="213"/>
      <c r="F217" s="221">
        <f>201126.68+334873.32</f>
        <v>536000</v>
      </c>
      <c r="G217" s="222">
        <v>0</v>
      </c>
      <c r="H217" s="223">
        <v>0</v>
      </c>
      <c r="I217" s="222">
        <v>0</v>
      </c>
      <c r="J217" s="222">
        <v>0</v>
      </c>
      <c r="K217" s="222">
        <v>0</v>
      </c>
      <c r="L217" s="221">
        <f t="shared" si="58"/>
        <v>0</v>
      </c>
      <c r="M217" s="221">
        <f t="shared" si="61"/>
        <v>0</v>
      </c>
      <c r="N217" s="221">
        <v>0</v>
      </c>
      <c r="O217" s="221">
        <v>0</v>
      </c>
      <c r="P217" s="195">
        <f t="shared" si="62"/>
        <v>0</v>
      </c>
      <c r="Q217" s="184"/>
      <c r="S217" s="184" t="s">
        <v>249</v>
      </c>
      <c r="T217" s="184" t="s">
        <v>606</v>
      </c>
      <c r="U217" s="367" t="s">
        <v>607</v>
      </c>
      <c r="V217" s="184" t="s">
        <v>617</v>
      </c>
      <c r="W217" s="184" t="s">
        <v>20</v>
      </c>
      <c r="X217" s="297">
        <f t="shared" si="59"/>
        <v>0</v>
      </c>
      <c r="Y217" s="297">
        <f t="shared" si="60"/>
        <v>0</v>
      </c>
      <c r="Z217" s="184" t="s">
        <v>226</v>
      </c>
    </row>
    <row r="218" spans="1:26" x14ac:dyDescent="0.25">
      <c r="A218" s="184"/>
      <c r="B218" s="184" t="s">
        <v>211</v>
      </c>
      <c r="C218" s="221">
        <f>550000+550000+489000</f>
        <v>1589000</v>
      </c>
      <c r="D218" s="221"/>
      <c r="E218" s="213"/>
      <c r="F218" s="221">
        <f>84859.81+1340943.35+53861.98+4809.95+104524.91</f>
        <v>1589000</v>
      </c>
      <c r="G218" s="222">
        <v>0</v>
      </c>
      <c r="H218" s="223">
        <v>0</v>
      </c>
      <c r="I218" s="222">
        <f>[5]TU!I229+[5]TU!I243+[5]TU!I251</f>
        <v>0</v>
      </c>
      <c r="J218" s="222">
        <f>[5]TU!J229+[5]TU!J243+[5]TU!J251</f>
        <v>0</v>
      </c>
      <c r="K218" s="222">
        <f>[5]TU!K229+[5]TU!K243+[5]TU!K251</f>
        <v>0</v>
      </c>
      <c r="L218" s="221">
        <f t="shared" si="58"/>
        <v>0</v>
      </c>
      <c r="M218" s="221">
        <f t="shared" si="61"/>
        <v>0</v>
      </c>
      <c r="N218" s="221">
        <v>0</v>
      </c>
      <c r="O218" s="221">
        <v>0</v>
      </c>
      <c r="P218" s="195">
        <f t="shared" si="62"/>
        <v>0</v>
      </c>
      <c r="Q218" s="184"/>
      <c r="S218" s="184" t="s">
        <v>249</v>
      </c>
      <c r="T218" s="184" t="s">
        <v>606</v>
      </c>
      <c r="U218" s="367" t="s">
        <v>607</v>
      </c>
      <c r="V218" s="184" t="s">
        <v>617</v>
      </c>
      <c r="W218" s="184" t="s">
        <v>21</v>
      </c>
      <c r="X218" s="297">
        <f t="shared" si="59"/>
        <v>0</v>
      </c>
      <c r="Y218" s="297">
        <f t="shared" si="60"/>
        <v>0</v>
      </c>
      <c r="Z218" s="184" t="s">
        <v>211</v>
      </c>
    </row>
    <row r="219" spans="1:26" x14ac:dyDescent="0.25">
      <c r="A219" s="184"/>
      <c r="B219" s="184" t="s">
        <v>212</v>
      </c>
      <c r="C219" s="212">
        <v>418000</v>
      </c>
      <c r="D219" s="213"/>
      <c r="E219" s="213"/>
      <c r="F219" s="221">
        <f>290213.4+1733.06+7974.04+47924.96+45244+22388.85</f>
        <v>415478.31</v>
      </c>
      <c r="G219" s="222">
        <v>2521.6900000000387</v>
      </c>
      <c r="H219" s="223">
        <v>2521.69</v>
      </c>
      <c r="I219" s="222">
        <f>[5]UBalt!I161</f>
        <v>0</v>
      </c>
      <c r="J219" s="222">
        <f>[5]UBalt!J161</f>
        <v>0</v>
      </c>
      <c r="K219" s="222">
        <f>[5]UBalt!K161</f>
        <v>0</v>
      </c>
      <c r="L219" s="221">
        <f t="shared" si="58"/>
        <v>3.865352482534945E-11</v>
      </c>
      <c r="M219" s="221">
        <f t="shared" si="61"/>
        <v>2521.69</v>
      </c>
      <c r="N219" s="221">
        <v>0</v>
      </c>
      <c r="O219" s="221">
        <v>0</v>
      </c>
      <c r="P219" s="195">
        <f t="shared" si="62"/>
        <v>-3.637978807091713E-11</v>
      </c>
      <c r="Q219" s="184"/>
      <c r="S219" s="184" t="s">
        <v>249</v>
      </c>
      <c r="T219" s="184" t="s">
        <v>606</v>
      </c>
      <c r="U219" s="367" t="s">
        <v>607</v>
      </c>
      <c r="V219" s="184" t="s">
        <v>617</v>
      </c>
      <c r="W219" s="184" t="s">
        <v>22</v>
      </c>
      <c r="X219" s="297">
        <f t="shared" si="59"/>
        <v>2521.69</v>
      </c>
      <c r="Y219" s="297">
        <f t="shared" si="60"/>
        <v>3.865352482534945E-11</v>
      </c>
      <c r="Z219" s="184" t="s">
        <v>212</v>
      </c>
    </row>
    <row r="220" spans="1:26" x14ac:dyDescent="0.25">
      <c r="A220" s="184"/>
      <c r="B220" s="224" t="s">
        <v>216</v>
      </c>
      <c r="C220" s="212">
        <v>463000</v>
      </c>
      <c r="D220" s="221"/>
      <c r="E220" s="221">
        <f>-200000-125000-100000-38000</f>
        <v>-463000</v>
      </c>
      <c r="F220" s="221"/>
      <c r="G220" s="222">
        <v>0</v>
      </c>
      <c r="H220" s="223"/>
      <c r="I220" s="222"/>
      <c r="J220" s="222"/>
      <c r="K220" s="222"/>
      <c r="L220" s="221"/>
      <c r="M220" s="221"/>
      <c r="N220" s="221"/>
      <c r="O220" s="221"/>
      <c r="P220" s="184"/>
      <c r="Q220" s="184"/>
      <c r="S220" s="184" t="s">
        <v>249</v>
      </c>
      <c r="T220" s="184" t="s">
        <v>606</v>
      </c>
      <c r="U220" s="367" t="s">
        <v>607</v>
      </c>
      <c r="V220" s="184" t="s">
        <v>617</v>
      </c>
      <c r="W220" s="224" t="s">
        <v>56</v>
      </c>
      <c r="X220" s="297">
        <f t="shared" si="59"/>
        <v>0</v>
      </c>
      <c r="Y220" s="297">
        <f t="shared" si="60"/>
        <v>0</v>
      </c>
      <c r="Z220" s="224" t="s">
        <v>216</v>
      </c>
    </row>
    <row r="221" spans="1:26" x14ac:dyDescent="0.25">
      <c r="A221" s="184"/>
      <c r="B221" s="184" t="s">
        <v>271</v>
      </c>
      <c r="C221" s="212"/>
      <c r="D221" s="221"/>
      <c r="E221" s="221">
        <v>200000</v>
      </c>
      <c r="F221" s="222">
        <f>12000+175073.75+12926.25</f>
        <v>200000</v>
      </c>
      <c r="G221" s="222">
        <v>0</v>
      </c>
      <c r="H221" s="223">
        <v>0</v>
      </c>
      <c r="I221" s="222">
        <v>0</v>
      </c>
      <c r="J221" s="222">
        <v>0</v>
      </c>
      <c r="K221" s="222">
        <v>0</v>
      </c>
      <c r="L221" s="221">
        <f t="shared" si="58"/>
        <v>0</v>
      </c>
      <c r="M221" s="221"/>
      <c r="N221" s="221"/>
      <c r="O221" s="221">
        <v>0</v>
      </c>
      <c r="P221" s="184"/>
      <c r="Q221" s="184"/>
      <c r="S221" s="184" t="s">
        <v>249</v>
      </c>
      <c r="T221" s="184" t="s">
        <v>606</v>
      </c>
      <c r="U221" s="367" t="s">
        <v>607</v>
      </c>
      <c r="V221" s="184" t="s">
        <v>617</v>
      </c>
      <c r="W221" s="184" t="s">
        <v>18</v>
      </c>
      <c r="X221" s="297">
        <f t="shared" si="59"/>
        <v>0</v>
      </c>
      <c r="Y221" s="297">
        <f t="shared" si="60"/>
        <v>0</v>
      </c>
      <c r="Z221" s="184" t="s">
        <v>271</v>
      </c>
    </row>
    <row r="222" spans="1:26" x14ac:dyDescent="0.25">
      <c r="A222" s="184"/>
      <c r="B222" s="184" t="s">
        <v>272</v>
      </c>
      <c r="C222" s="212"/>
      <c r="D222" s="221"/>
      <c r="E222" s="221">
        <v>125000</v>
      </c>
      <c r="F222" s="221">
        <f>10428.44+114387.04+184.52</f>
        <v>125000</v>
      </c>
      <c r="G222" s="222">
        <v>0</v>
      </c>
      <c r="H222" s="223">
        <v>0</v>
      </c>
      <c r="I222" s="222">
        <v>0</v>
      </c>
      <c r="J222" s="222">
        <v>0</v>
      </c>
      <c r="K222" s="222">
        <v>0</v>
      </c>
      <c r="L222" s="221">
        <f t="shared" si="58"/>
        <v>0</v>
      </c>
      <c r="M222" s="221"/>
      <c r="N222" s="221"/>
      <c r="O222" s="221">
        <v>0</v>
      </c>
      <c r="P222" s="184"/>
      <c r="Q222" s="184"/>
      <c r="S222" s="184" t="s">
        <v>249</v>
      </c>
      <c r="T222" s="184" t="s">
        <v>606</v>
      </c>
      <c r="U222" s="367" t="s">
        <v>607</v>
      </c>
      <c r="V222" s="184" t="s">
        <v>617</v>
      </c>
      <c r="W222" s="184" t="s">
        <v>16</v>
      </c>
      <c r="X222" s="297">
        <f t="shared" si="59"/>
        <v>0</v>
      </c>
      <c r="Y222" s="297">
        <f t="shared" si="60"/>
        <v>0</v>
      </c>
      <c r="Z222" s="184" t="s">
        <v>272</v>
      </c>
    </row>
    <row r="223" spans="1:26" x14ac:dyDescent="0.25">
      <c r="A223" s="184"/>
      <c r="B223" s="184" t="s">
        <v>273</v>
      </c>
      <c r="C223" s="212"/>
      <c r="D223" s="221"/>
      <c r="E223" s="221">
        <f>100000</f>
        <v>100000</v>
      </c>
      <c r="F223" s="221">
        <f>17814.81+82185.19</f>
        <v>100000</v>
      </c>
      <c r="G223" s="222">
        <v>0</v>
      </c>
      <c r="H223" s="223">
        <v>0</v>
      </c>
      <c r="I223" s="222">
        <v>0</v>
      </c>
      <c r="J223" s="222">
        <v>0</v>
      </c>
      <c r="K223" s="222">
        <f>[5]UMCP!K15</f>
        <v>0</v>
      </c>
      <c r="L223" s="221">
        <f>G223-H223-I223-J223-K223</f>
        <v>0</v>
      </c>
      <c r="M223" s="221"/>
      <c r="N223" s="221"/>
      <c r="O223" s="221">
        <v>0</v>
      </c>
      <c r="P223" s="184"/>
      <c r="Q223" s="184"/>
      <c r="S223" s="184" t="s">
        <v>249</v>
      </c>
      <c r="T223" s="184" t="s">
        <v>606</v>
      </c>
      <c r="U223" s="367" t="s">
        <v>607</v>
      </c>
      <c r="V223" s="184" t="s">
        <v>617</v>
      </c>
      <c r="W223" s="184" t="s">
        <v>11</v>
      </c>
      <c r="X223" s="297">
        <f t="shared" si="59"/>
        <v>0</v>
      </c>
      <c r="Y223" s="297">
        <f t="shared" si="60"/>
        <v>0</v>
      </c>
      <c r="Z223" s="184" t="s">
        <v>273</v>
      </c>
    </row>
    <row r="224" spans="1:26" x14ac:dyDescent="0.25">
      <c r="A224" s="184"/>
      <c r="B224" s="184"/>
      <c r="C224" s="212"/>
      <c r="D224" s="213"/>
      <c r="E224" s="213"/>
      <c r="F224" s="221"/>
      <c r="G224" s="215"/>
      <c r="H224" s="216"/>
      <c r="I224" s="215"/>
      <c r="J224" s="215"/>
      <c r="K224" s="215"/>
      <c r="L224" s="213"/>
      <c r="M224" s="213"/>
      <c r="N224" s="213"/>
      <c r="O224" s="213"/>
      <c r="P224" s="184"/>
      <c r="Q224" s="184"/>
    </row>
    <row r="225" spans="1:26" ht="13.8" thickBot="1" x14ac:dyDescent="0.3">
      <c r="A225" s="184"/>
      <c r="B225" s="227" t="s">
        <v>218</v>
      </c>
      <c r="C225" s="228">
        <f t="shared" ref="C225:O225" si="63">SUM(C206:C224)</f>
        <v>32000000</v>
      </c>
      <c r="D225" s="228">
        <f t="shared" si="63"/>
        <v>17226</v>
      </c>
      <c r="E225" s="228">
        <f t="shared" si="63"/>
        <v>-38569.729999999981</v>
      </c>
      <c r="F225" s="251">
        <f t="shared" si="63"/>
        <v>31960129.689999998</v>
      </c>
      <c r="G225" s="228">
        <f t="shared" si="63"/>
        <v>18526.57999999974</v>
      </c>
      <c r="H225" s="252">
        <f>SUM(H206:H224)</f>
        <v>18526.579999999998</v>
      </c>
      <c r="I225" s="228">
        <f t="shared" si="63"/>
        <v>0</v>
      </c>
      <c r="J225" s="228">
        <f t="shared" si="63"/>
        <v>0</v>
      </c>
      <c r="K225" s="228">
        <f t="shared" si="63"/>
        <v>0</v>
      </c>
      <c r="L225" s="228">
        <f t="shared" si="63"/>
        <v>-2.6011548470705748E-10</v>
      </c>
      <c r="M225" s="228">
        <f t="shared" si="63"/>
        <v>2521.69</v>
      </c>
      <c r="N225" s="228">
        <f t="shared" si="63"/>
        <v>0</v>
      </c>
      <c r="O225" s="228">
        <f t="shared" si="63"/>
        <v>16004.89</v>
      </c>
      <c r="P225" s="195">
        <f>C225+D225+E225-F225-G225</f>
        <v>2.1973391994833946E-9</v>
      </c>
      <c r="Q225" s="184"/>
      <c r="W225" s="224"/>
      <c r="X225" s="184"/>
      <c r="Y225" s="184"/>
    </row>
    <row r="226" spans="1:26" ht="13.8" thickTop="1" x14ac:dyDescent="0.25">
      <c r="A226" s="184"/>
      <c r="B226" s="184"/>
      <c r="C226" s="212"/>
      <c r="D226" s="213"/>
      <c r="E226" s="213"/>
      <c r="F226" s="250"/>
      <c r="G226" s="231"/>
      <c r="H226" s="232"/>
      <c r="I226" s="231"/>
      <c r="J226" s="231"/>
      <c r="K226" s="231"/>
      <c r="L226" s="221"/>
      <c r="M226" s="221"/>
      <c r="N226" s="221"/>
      <c r="O226" s="221"/>
      <c r="P226" s="184"/>
      <c r="Q226" s="184"/>
    </row>
    <row r="227" spans="1:26" x14ac:dyDescent="0.25">
      <c r="A227" s="224" t="s">
        <v>274</v>
      </c>
      <c r="B227" s="184"/>
      <c r="C227" s="212"/>
      <c r="D227" s="213"/>
      <c r="E227" s="213"/>
      <c r="F227" s="221"/>
      <c r="G227" s="215"/>
      <c r="H227" s="216"/>
      <c r="I227" s="215"/>
      <c r="J227" s="215"/>
      <c r="K227" s="215"/>
      <c r="L227" s="213"/>
      <c r="M227" s="213"/>
      <c r="N227" s="213"/>
      <c r="O227" s="213"/>
      <c r="P227" s="184"/>
      <c r="Q227" s="184"/>
    </row>
    <row r="228" spans="1:26" x14ac:dyDescent="0.25">
      <c r="A228" s="184"/>
      <c r="B228" s="184" t="s">
        <v>268</v>
      </c>
      <c r="C228" s="212">
        <v>5000000</v>
      </c>
      <c r="D228" s="213"/>
      <c r="E228" s="213"/>
      <c r="F228" s="221">
        <f>3529+2923550.04+105092+1082695.32+267467.11+355792.93+261873.6</f>
        <v>5000000</v>
      </c>
      <c r="G228" s="231">
        <v>0</v>
      </c>
      <c r="H228" s="232">
        <v>0</v>
      </c>
      <c r="I228" s="231">
        <v>0</v>
      </c>
      <c r="J228" s="231">
        <v>0</v>
      </c>
      <c r="K228" s="231">
        <v>0</v>
      </c>
      <c r="L228" s="221">
        <f>G228-H228-I228-J228-K228</f>
        <v>0</v>
      </c>
      <c r="M228" s="221"/>
      <c r="N228" s="221"/>
      <c r="O228" s="221">
        <f>H228+I228+J228+K228</f>
        <v>0</v>
      </c>
      <c r="P228" s="184"/>
      <c r="Q228" s="184"/>
      <c r="W228" s="184" t="s">
        <v>11</v>
      </c>
      <c r="Z228" s="184" t="s">
        <v>268</v>
      </c>
    </row>
    <row r="229" spans="1:26" x14ac:dyDescent="0.25">
      <c r="A229" s="184"/>
      <c r="B229" s="184" t="s">
        <v>275</v>
      </c>
      <c r="C229" s="212">
        <v>10000000</v>
      </c>
      <c r="D229" s="213"/>
      <c r="E229" s="213"/>
      <c r="F229" s="221">
        <f>9969803.99+30196.01</f>
        <v>10000000</v>
      </c>
      <c r="G229" s="231">
        <v>0</v>
      </c>
      <c r="H229" s="232">
        <v>0</v>
      </c>
      <c r="I229" s="231">
        <v>0</v>
      </c>
      <c r="J229" s="231">
        <v>0</v>
      </c>
      <c r="K229" s="231">
        <v>0</v>
      </c>
      <c r="L229" s="221">
        <f>G229-H229-I229-J229-K229</f>
        <v>0</v>
      </c>
      <c r="M229" s="221"/>
      <c r="N229" s="221"/>
      <c r="O229" s="221">
        <f>H229+I229+J229+K229</f>
        <v>0</v>
      </c>
      <c r="P229" s="184"/>
      <c r="Q229" s="184"/>
      <c r="W229" s="184" t="s">
        <v>18</v>
      </c>
      <c r="Z229" s="184" t="s">
        <v>275</v>
      </c>
    </row>
    <row r="230" spans="1:26" x14ac:dyDescent="0.25">
      <c r="A230" s="184"/>
      <c r="B230" s="224" t="s">
        <v>201</v>
      </c>
      <c r="C230" s="212"/>
      <c r="D230" s="213"/>
      <c r="E230" s="213"/>
      <c r="F230" s="221"/>
      <c r="G230" s="215"/>
      <c r="H230" s="216"/>
      <c r="I230" s="215"/>
      <c r="J230" s="215"/>
      <c r="K230" s="215"/>
      <c r="L230" s="221"/>
      <c r="M230" s="221"/>
      <c r="N230" s="221"/>
      <c r="O230" s="221"/>
      <c r="P230" s="184"/>
      <c r="Q230" s="184"/>
      <c r="W230" s="224"/>
      <c r="Z230" s="224"/>
    </row>
    <row r="231" spans="1:26" x14ac:dyDescent="0.25">
      <c r="A231" s="184"/>
      <c r="B231" s="184" t="s">
        <v>202</v>
      </c>
      <c r="C231" s="221">
        <v>7300000</v>
      </c>
      <c r="D231" s="221"/>
      <c r="E231" s="221"/>
      <c r="F231" s="221">
        <f>1854333.16+428252.37+5017414.47</f>
        <v>7300000</v>
      </c>
      <c r="G231" s="222">
        <v>0</v>
      </c>
      <c r="H231" s="223">
        <v>0</v>
      </c>
      <c r="I231" s="222">
        <v>0</v>
      </c>
      <c r="J231" s="222">
        <v>0</v>
      </c>
      <c r="K231" s="222">
        <v>0</v>
      </c>
      <c r="L231" s="221">
        <f t="shared" ref="L231:L243" si="64">G231-H231-I231-J231-K231</f>
        <v>0</v>
      </c>
      <c r="M231" s="221"/>
      <c r="N231" s="221"/>
      <c r="O231" s="221">
        <f>H231+I231+J231+K231</f>
        <v>0</v>
      </c>
      <c r="P231" s="184"/>
      <c r="Q231" s="184"/>
      <c r="W231" s="184" t="s">
        <v>11</v>
      </c>
      <c r="Z231" s="184" t="s">
        <v>202</v>
      </c>
    </row>
    <row r="232" spans="1:26" x14ac:dyDescent="0.25">
      <c r="A232" s="184"/>
      <c r="B232" s="184" t="s">
        <v>203</v>
      </c>
      <c r="C232" s="221">
        <v>2675000</v>
      </c>
      <c r="D232" s="221"/>
      <c r="E232" s="221"/>
      <c r="F232" s="221">
        <f>27961.56+248653.58+1461944.86+27572.65+761929.36+1092+70720.87+9695.05+87.36</f>
        <v>2609657.2899999996</v>
      </c>
      <c r="G232" s="222">
        <v>65342.709999999992</v>
      </c>
      <c r="H232" s="223">
        <v>65342.71</v>
      </c>
      <c r="I232" s="222">
        <f>[5]UMB!I313</f>
        <v>0</v>
      </c>
      <c r="J232" s="222">
        <f>[5]UMB!J313</f>
        <v>0</v>
      </c>
      <c r="K232" s="222">
        <f>[5]UMB!K313</f>
        <v>0</v>
      </c>
      <c r="L232" s="221">
        <f t="shared" si="64"/>
        <v>-7.2759576141834259E-12</v>
      </c>
      <c r="M232" s="221">
        <f>H232-N232-O232</f>
        <v>0</v>
      </c>
      <c r="N232" s="221">
        <v>0</v>
      </c>
      <c r="O232" s="221">
        <v>65342.71</v>
      </c>
      <c r="P232" s="195">
        <f t="shared" ref="P232:P243" si="65">C232+D232+E232-F232-G232</f>
        <v>4.3655745685100555E-10</v>
      </c>
      <c r="Q232" s="184"/>
      <c r="S232" s="184" t="s">
        <v>249</v>
      </c>
      <c r="T232" s="184" t="s">
        <v>606</v>
      </c>
      <c r="U232" s="367" t="s">
        <v>607</v>
      </c>
      <c r="V232" s="184" t="s">
        <v>618</v>
      </c>
      <c r="W232" s="184" t="s">
        <v>12</v>
      </c>
      <c r="X232" s="297">
        <f t="shared" ref="X232:X243" si="66">H232</f>
        <v>65342.71</v>
      </c>
      <c r="Y232" s="297">
        <f t="shared" ref="Y232:Y243" si="67">L232</f>
        <v>-7.2759576141834259E-12</v>
      </c>
      <c r="Z232" s="184" t="s">
        <v>203</v>
      </c>
    </row>
    <row r="233" spans="1:26" x14ac:dyDescent="0.25">
      <c r="A233" s="184"/>
      <c r="B233" s="184" t="s">
        <v>204</v>
      </c>
      <c r="C233" s="221">
        <v>642000</v>
      </c>
      <c r="D233" s="221"/>
      <c r="E233" s="221"/>
      <c r="F233" s="222">
        <f>265235.37+376764.63</f>
        <v>642000</v>
      </c>
      <c r="G233" s="222">
        <v>0</v>
      </c>
      <c r="H233" s="223">
        <v>0</v>
      </c>
      <c r="I233" s="222">
        <v>0</v>
      </c>
      <c r="J233" s="222">
        <v>0</v>
      </c>
      <c r="K233" s="222">
        <v>0</v>
      </c>
      <c r="L233" s="221">
        <f t="shared" si="64"/>
        <v>0</v>
      </c>
      <c r="M233" s="221"/>
      <c r="N233" s="221">
        <v>0</v>
      </c>
      <c r="O233" s="221">
        <f t="shared" ref="O233:O241" si="68">H233+I233+J233+K233</f>
        <v>0</v>
      </c>
      <c r="P233" s="195">
        <f t="shared" si="65"/>
        <v>0</v>
      </c>
      <c r="Q233" s="184"/>
      <c r="S233" s="184" t="s">
        <v>249</v>
      </c>
      <c r="T233" s="184" t="s">
        <v>606</v>
      </c>
      <c r="U233" s="367" t="s">
        <v>607</v>
      </c>
      <c r="W233" s="184" t="s">
        <v>14</v>
      </c>
      <c r="X233" s="297">
        <f t="shared" si="66"/>
        <v>0</v>
      </c>
      <c r="Y233" s="297">
        <f t="shared" si="67"/>
        <v>0</v>
      </c>
      <c r="Z233" s="184" t="s">
        <v>204</v>
      </c>
    </row>
    <row r="234" spans="1:26" x14ac:dyDescent="0.25">
      <c r="A234" s="184"/>
      <c r="B234" s="184" t="s">
        <v>205</v>
      </c>
      <c r="C234" s="221">
        <v>1452000</v>
      </c>
      <c r="D234" s="221"/>
      <c r="E234" s="221"/>
      <c r="F234" s="221">
        <f>75040.75+1319734.01+38257.4+18967.84</f>
        <v>1452000</v>
      </c>
      <c r="G234" s="222">
        <v>0</v>
      </c>
      <c r="H234" s="223">
        <v>0</v>
      </c>
      <c r="I234" s="222">
        <v>0</v>
      </c>
      <c r="J234" s="222">
        <v>0</v>
      </c>
      <c r="K234" s="222">
        <v>0</v>
      </c>
      <c r="L234" s="221">
        <f t="shared" si="64"/>
        <v>0</v>
      </c>
      <c r="M234" s="221"/>
      <c r="N234" s="221">
        <v>0</v>
      </c>
      <c r="O234" s="221">
        <f t="shared" si="68"/>
        <v>0</v>
      </c>
      <c r="P234" s="195">
        <f t="shared" si="65"/>
        <v>0</v>
      </c>
      <c r="Q234" s="184"/>
      <c r="S234" s="184" t="s">
        <v>249</v>
      </c>
      <c r="T234" s="184" t="s">
        <v>606</v>
      </c>
      <c r="U234" s="367" t="s">
        <v>607</v>
      </c>
      <c r="W234" s="184" t="s">
        <v>15</v>
      </c>
      <c r="X234" s="297">
        <f t="shared" si="66"/>
        <v>0</v>
      </c>
      <c r="Y234" s="297">
        <f t="shared" si="67"/>
        <v>0</v>
      </c>
      <c r="Z234" s="184" t="s">
        <v>205</v>
      </c>
    </row>
    <row r="235" spans="1:26" x14ac:dyDescent="0.25">
      <c r="A235" s="184"/>
      <c r="B235" s="184" t="s">
        <v>206</v>
      </c>
      <c r="C235" s="221">
        <v>317000</v>
      </c>
      <c r="D235" s="221"/>
      <c r="E235" s="221"/>
      <c r="F235" s="221">
        <f>317000</f>
        <v>317000</v>
      </c>
      <c r="G235" s="222">
        <v>0</v>
      </c>
      <c r="H235" s="223">
        <v>0</v>
      </c>
      <c r="I235" s="222">
        <v>0</v>
      </c>
      <c r="J235" s="222">
        <v>0</v>
      </c>
      <c r="K235" s="222">
        <v>0</v>
      </c>
      <c r="L235" s="221">
        <f t="shared" si="64"/>
        <v>0</v>
      </c>
      <c r="M235" s="221"/>
      <c r="N235" s="221">
        <v>0</v>
      </c>
      <c r="O235" s="221">
        <f t="shared" si="68"/>
        <v>0</v>
      </c>
      <c r="P235" s="195">
        <f t="shared" si="65"/>
        <v>0</v>
      </c>
      <c r="Q235" s="184"/>
      <c r="S235" s="184" t="s">
        <v>249</v>
      </c>
      <c r="T235" s="184" t="s">
        <v>606</v>
      </c>
      <c r="U235" s="367" t="s">
        <v>607</v>
      </c>
      <c r="W235" s="184" t="s">
        <v>16</v>
      </c>
      <c r="X235" s="297">
        <f t="shared" si="66"/>
        <v>0</v>
      </c>
      <c r="Y235" s="297">
        <f t="shared" si="67"/>
        <v>0</v>
      </c>
      <c r="Z235" s="184" t="s">
        <v>206</v>
      </c>
    </row>
    <row r="236" spans="1:26" x14ac:dyDescent="0.25">
      <c r="A236" s="184"/>
      <c r="B236" s="184" t="s">
        <v>207</v>
      </c>
      <c r="C236" s="221">
        <v>554000</v>
      </c>
      <c r="D236" s="221"/>
      <c r="E236" s="221"/>
      <c r="F236" s="221">
        <f>14006.5+9101+530000+892.5</f>
        <v>554000</v>
      </c>
      <c r="G236" s="222">
        <v>0</v>
      </c>
      <c r="H236" s="223">
        <v>0</v>
      </c>
      <c r="I236" s="222">
        <v>0</v>
      </c>
      <c r="J236" s="222">
        <v>0</v>
      </c>
      <c r="K236" s="222">
        <v>0</v>
      </c>
      <c r="L236" s="221">
        <f t="shared" si="64"/>
        <v>0</v>
      </c>
      <c r="M236" s="221"/>
      <c r="N236" s="221">
        <v>0</v>
      </c>
      <c r="O236" s="221">
        <f t="shared" si="68"/>
        <v>0</v>
      </c>
      <c r="P236" s="195">
        <f t="shared" si="65"/>
        <v>0</v>
      </c>
      <c r="Q236" s="184"/>
      <c r="S236" s="184" t="s">
        <v>249</v>
      </c>
      <c r="T236" s="184" t="s">
        <v>606</v>
      </c>
      <c r="U236" s="367" t="s">
        <v>607</v>
      </c>
      <c r="W236" s="184" t="s">
        <v>17</v>
      </c>
      <c r="X236" s="297">
        <f t="shared" si="66"/>
        <v>0</v>
      </c>
      <c r="Y236" s="297">
        <f t="shared" si="67"/>
        <v>0</v>
      </c>
      <c r="Z236" s="184" t="s">
        <v>207</v>
      </c>
    </row>
    <row r="237" spans="1:26" x14ac:dyDescent="0.25">
      <c r="A237" s="184"/>
      <c r="B237" s="184" t="s">
        <v>208</v>
      </c>
      <c r="C237" s="221">
        <v>409000</v>
      </c>
      <c r="D237" s="100">
        <v>-8657.18</v>
      </c>
      <c r="E237" s="221"/>
      <c r="F237" s="226">
        <f>400342.82</f>
        <v>400342.82</v>
      </c>
      <c r="G237" s="222">
        <v>0</v>
      </c>
      <c r="H237" s="223">
        <v>0</v>
      </c>
      <c r="I237" s="222">
        <v>0</v>
      </c>
      <c r="J237" s="222">
        <v>0</v>
      </c>
      <c r="K237" s="222">
        <v>0</v>
      </c>
      <c r="L237" s="221">
        <f t="shared" si="64"/>
        <v>0</v>
      </c>
      <c r="M237" s="221"/>
      <c r="N237" s="221">
        <v>0</v>
      </c>
      <c r="O237" s="221">
        <f t="shared" si="68"/>
        <v>0</v>
      </c>
      <c r="P237" s="195">
        <f t="shared" si="65"/>
        <v>0</v>
      </c>
      <c r="Q237" s="184"/>
      <c r="S237" s="184" t="s">
        <v>249</v>
      </c>
      <c r="T237" s="184" t="s">
        <v>606</v>
      </c>
      <c r="U237" s="367" t="s">
        <v>607</v>
      </c>
      <c r="W237" s="184" t="s">
        <v>18</v>
      </c>
      <c r="X237" s="297">
        <f t="shared" si="66"/>
        <v>0</v>
      </c>
      <c r="Y237" s="297">
        <f t="shared" si="67"/>
        <v>0</v>
      </c>
      <c r="Z237" s="184" t="s">
        <v>208</v>
      </c>
    </row>
    <row r="238" spans="1:26" x14ac:dyDescent="0.25">
      <c r="A238" s="184"/>
      <c r="B238" s="184" t="s">
        <v>209</v>
      </c>
      <c r="C238" s="221">
        <v>645000</v>
      </c>
      <c r="D238" s="221"/>
      <c r="E238" s="221"/>
      <c r="F238" s="221">
        <f>94801.54+119529.13+19228.26+323200+6410.7+81830.37</f>
        <v>644999.99999999988</v>
      </c>
      <c r="G238" s="222">
        <v>0</v>
      </c>
      <c r="H238" s="223">
        <v>0</v>
      </c>
      <c r="I238" s="222">
        <v>0</v>
      </c>
      <c r="J238" s="222">
        <v>0</v>
      </c>
      <c r="K238" s="222">
        <v>0</v>
      </c>
      <c r="L238" s="221">
        <f t="shared" si="64"/>
        <v>0</v>
      </c>
      <c r="M238" s="221"/>
      <c r="N238" s="221">
        <v>0</v>
      </c>
      <c r="O238" s="221">
        <f t="shared" si="68"/>
        <v>0</v>
      </c>
      <c r="P238" s="195">
        <f t="shared" si="65"/>
        <v>1.1641532182693481E-10</v>
      </c>
      <c r="Q238" s="184"/>
      <c r="S238" s="184" t="s">
        <v>249</v>
      </c>
      <c r="T238" s="184" t="s">
        <v>606</v>
      </c>
      <c r="U238" s="367" t="s">
        <v>607</v>
      </c>
      <c r="W238" s="184" t="s">
        <v>19</v>
      </c>
      <c r="X238" s="297">
        <f t="shared" si="66"/>
        <v>0</v>
      </c>
      <c r="Y238" s="297">
        <f t="shared" si="67"/>
        <v>0</v>
      </c>
      <c r="Z238" s="184" t="s">
        <v>209</v>
      </c>
    </row>
    <row r="239" spans="1:26" x14ac:dyDescent="0.25">
      <c r="A239" s="184"/>
      <c r="B239" s="184" t="s">
        <v>226</v>
      </c>
      <c r="C239" s="221">
        <v>536000</v>
      </c>
      <c r="D239" s="221">
        <v>-0.03</v>
      </c>
      <c r="E239" s="221"/>
      <c r="F239" s="221">
        <f>459882.47+76117.5</f>
        <v>535999.97</v>
      </c>
      <c r="G239" s="222">
        <v>0</v>
      </c>
      <c r="H239" s="223">
        <v>0</v>
      </c>
      <c r="I239" s="222">
        <v>0</v>
      </c>
      <c r="J239" s="222">
        <v>0</v>
      </c>
      <c r="K239" s="222">
        <v>0</v>
      </c>
      <c r="L239" s="221">
        <f t="shared" si="64"/>
        <v>0</v>
      </c>
      <c r="M239" s="221"/>
      <c r="N239" s="221">
        <v>0</v>
      </c>
      <c r="O239" s="221">
        <f t="shared" si="68"/>
        <v>0</v>
      </c>
      <c r="P239" s="195">
        <f t="shared" si="65"/>
        <v>0</v>
      </c>
      <c r="Q239" s="184"/>
      <c r="S239" s="184" t="s">
        <v>249</v>
      </c>
      <c r="T239" s="184" t="s">
        <v>606</v>
      </c>
      <c r="U239" s="367" t="s">
        <v>607</v>
      </c>
      <c r="W239" s="184" t="s">
        <v>20</v>
      </c>
      <c r="X239" s="297">
        <f t="shared" si="66"/>
        <v>0</v>
      </c>
      <c r="Y239" s="297">
        <f t="shared" si="67"/>
        <v>0</v>
      </c>
      <c r="Z239" s="184" t="s">
        <v>226</v>
      </c>
    </row>
    <row r="240" spans="1:26" x14ac:dyDescent="0.25">
      <c r="A240" s="184"/>
      <c r="B240" s="184" t="s">
        <v>211</v>
      </c>
      <c r="C240" s="221">
        <v>1589000</v>
      </c>
      <c r="D240" s="221"/>
      <c r="E240" s="221"/>
      <c r="F240" s="221">
        <f>1297648.93+14449.5+4900+272001.57</f>
        <v>1589000</v>
      </c>
      <c r="G240" s="222">
        <v>0</v>
      </c>
      <c r="H240" s="223">
        <v>0</v>
      </c>
      <c r="I240" s="222">
        <v>0</v>
      </c>
      <c r="J240" s="222">
        <v>0</v>
      </c>
      <c r="K240" s="222">
        <v>0</v>
      </c>
      <c r="L240" s="221">
        <f t="shared" si="64"/>
        <v>0</v>
      </c>
      <c r="M240" s="221"/>
      <c r="N240" s="221">
        <v>0</v>
      </c>
      <c r="O240" s="221">
        <f t="shared" si="68"/>
        <v>0</v>
      </c>
      <c r="P240" s="195">
        <f t="shared" si="65"/>
        <v>0</v>
      </c>
      <c r="Q240" s="184"/>
      <c r="S240" s="184" t="s">
        <v>249</v>
      </c>
      <c r="T240" s="184" t="s">
        <v>606</v>
      </c>
      <c r="U240" s="367" t="s">
        <v>607</v>
      </c>
      <c r="W240" s="184" t="s">
        <v>21</v>
      </c>
      <c r="X240" s="297">
        <f t="shared" si="66"/>
        <v>0</v>
      </c>
      <c r="Y240" s="297">
        <f t="shared" si="67"/>
        <v>0</v>
      </c>
      <c r="Z240" s="184" t="s">
        <v>211</v>
      </c>
    </row>
    <row r="241" spans="1:26" x14ac:dyDescent="0.25">
      <c r="A241" s="184"/>
      <c r="B241" s="184" t="s">
        <v>212</v>
      </c>
      <c r="C241" s="212">
        <v>418000</v>
      </c>
      <c r="D241" s="221">
        <v>-67674.259999999995</v>
      </c>
      <c r="E241" s="213"/>
      <c r="F241" s="221">
        <f>133766.84+186228.72+14900+15430.18</f>
        <v>350325.74</v>
      </c>
      <c r="G241" s="222">
        <v>0</v>
      </c>
      <c r="H241" s="223">
        <v>0</v>
      </c>
      <c r="I241" s="222">
        <v>0</v>
      </c>
      <c r="J241" s="222">
        <v>0</v>
      </c>
      <c r="K241" s="222">
        <v>0</v>
      </c>
      <c r="L241" s="221">
        <f t="shared" si="64"/>
        <v>0</v>
      </c>
      <c r="M241" s="221"/>
      <c r="N241" s="221">
        <v>0</v>
      </c>
      <c r="O241" s="221">
        <f t="shared" si="68"/>
        <v>0</v>
      </c>
      <c r="P241" s="195">
        <f t="shared" si="65"/>
        <v>0</v>
      </c>
      <c r="Q241" s="184"/>
      <c r="S241" s="184" t="s">
        <v>249</v>
      </c>
      <c r="T241" s="184" t="s">
        <v>606</v>
      </c>
      <c r="U241" s="367" t="s">
        <v>607</v>
      </c>
      <c r="W241" s="184" t="s">
        <v>22</v>
      </c>
      <c r="X241" s="297">
        <f t="shared" si="66"/>
        <v>0</v>
      </c>
      <c r="Y241" s="297">
        <f t="shared" si="67"/>
        <v>0</v>
      </c>
      <c r="Z241" s="184" t="s">
        <v>212</v>
      </c>
    </row>
    <row r="242" spans="1:26" x14ac:dyDescent="0.25">
      <c r="A242" s="184"/>
      <c r="B242" s="224" t="s">
        <v>216</v>
      </c>
      <c r="C242" s="212">
        <v>463000</v>
      </c>
      <c r="D242" s="185"/>
      <c r="E242" s="100">
        <f>24627.14-80000-288809.46-75000-43817.68</f>
        <v>-463000</v>
      </c>
      <c r="F242" s="221">
        <f>'[5]Emergency Funds'!G104</f>
        <v>0</v>
      </c>
      <c r="G242" s="222">
        <v>0</v>
      </c>
      <c r="H242" s="223"/>
      <c r="I242" s="222"/>
      <c r="J242" s="222"/>
      <c r="K242" s="222"/>
      <c r="L242" s="221"/>
      <c r="M242" s="221">
        <f>H242-N242-O242</f>
        <v>0</v>
      </c>
      <c r="N242" s="221"/>
      <c r="O242" s="221"/>
      <c r="P242" s="195">
        <f t="shared" si="65"/>
        <v>0</v>
      </c>
      <c r="Q242" s="184"/>
      <c r="S242" s="184" t="s">
        <v>249</v>
      </c>
      <c r="T242" s="184" t="s">
        <v>606</v>
      </c>
      <c r="U242" s="367" t="s">
        <v>607</v>
      </c>
      <c r="V242" s="184" t="s">
        <v>618</v>
      </c>
      <c r="W242" s="224" t="s">
        <v>56</v>
      </c>
      <c r="X242" s="297">
        <f t="shared" si="66"/>
        <v>0</v>
      </c>
      <c r="Y242" s="297">
        <f t="shared" si="67"/>
        <v>0</v>
      </c>
      <c r="Z242" s="224" t="s">
        <v>216</v>
      </c>
    </row>
    <row r="243" spans="1:26" x14ac:dyDescent="0.25">
      <c r="A243" s="184"/>
      <c r="B243" s="184" t="s">
        <v>276</v>
      </c>
      <c r="C243" s="212"/>
      <c r="D243" s="185">
        <v>-63620.75</v>
      </c>
      <c r="E243" s="100">
        <f>75000</f>
        <v>75000</v>
      </c>
      <c r="F243" s="221">
        <f>11379.25</f>
        <v>11379.25</v>
      </c>
      <c r="G243" s="222">
        <v>0</v>
      </c>
      <c r="H243" s="223">
        <v>0</v>
      </c>
      <c r="I243" s="222">
        <f>[5]UMES!I10</f>
        <v>0</v>
      </c>
      <c r="J243" s="222">
        <f>[5]UMES!J10</f>
        <v>0</v>
      </c>
      <c r="K243" s="222">
        <f>[5]UMES!K10</f>
        <v>0</v>
      </c>
      <c r="L243" s="221">
        <f t="shared" si="64"/>
        <v>0</v>
      </c>
      <c r="M243" s="221">
        <f>H243-N243-O243</f>
        <v>0</v>
      </c>
      <c r="N243" s="221">
        <v>0</v>
      </c>
      <c r="O243" s="221">
        <v>0</v>
      </c>
      <c r="P243" s="195">
        <f t="shared" si="65"/>
        <v>0</v>
      </c>
      <c r="Q243" s="184"/>
      <c r="S243" s="184" t="s">
        <v>249</v>
      </c>
      <c r="T243" s="184" t="s">
        <v>606</v>
      </c>
      <c r="U243" s="367" t="s">
        <v>607</v>
      </c>
      <c r="V243" s="184" t="s">
        <v>618</v>
      </c>
      <c r="W243" s="184" t="s">
        <v>14</v>
      </c>
      <c r="X243" s="297">
        <f t="shared" si="66"/>
        <v>0</v>
      </c>
      <c r="Y243" s="297">
        <f t="shared" si="67"/>
        <v>0</v>
      </c>
      <c r="Z243" s="184" t="s">
        <v>276</v>
      </c>
    </row>
    <row r="244" spans="1:26" x14ac:dyDescent="0.25">
      <c r="A244" s="184"/>
      <c r="B244" s="184"/>
      <c r="C244" s="212"/>
      <c r="D244" s="213"/>
      <c r="E244" s="213"/>
      <c r="F244" s="221"/>
      <c r="G244" s="215"/>
      <c r="H244" s="216"/>
      <c r="I244" s="215"/>
      <c r="J244" s="215"/>
      <c r="K244" s="215"/>
      <c r="L244" s="213"/>
      <c r="M244" s="213"/>
      <c r="N244" s="213"/>
      <c r="O244" s="213"/>
      <c r="P244" s="184"/>
      <c r="Q244" s="184"/>
    </row>
    <row r="245" spans="1:26" ht="13.8" thickBot="1" x14ac:dyDescent="0.3">
      <c r="A245" s="184"/>
      <c r="B245" s="227" t="s">
        <v>277</v>
      </c>
      <c r="C245" s="228">
        <f t="shared" ref="C245:O245" si="69">SUM(C228:C244)</f>
        <v>32000000</v>
      </c>
      <c r="D245" s="228">
        <f t="shared" si="69"/>
        <v>-139952.22</v>
      </c>
      <c r="E245" s="228">
        <f t="shared" si="69"/>
        <v>-388000</v>
      </c>
      <c r="F245" s="251">
        <f t="shared" si="69"/>
        <v>31406705.069999997</v>
      </c>
      <c r="G245" s="228">
        <f t="shared" si="69"/>
        <v>65342.709999999992</v>
      </c>
      <c r="H245" s="252">
        <f t="shared" si="69"/>
        <v>65342.71</v>
      </c>
      <c r="I245" s="228">
        <f t="shared" si="69"/>
        <v>0</v>
      </c>
      <c r="J245" s="228">
        <f t="shared" si="69"/>
        <v>0</v>
      </c>
      <c r="K245" s="228">
        <f t="shared" si="69"/>
        <v>0</v>
      </c>
      <c r="L245" s="228">
        <f t="shared" si="69"/>
        <v>-7.2759576141834259E-12</v>
      </c>
      <c r="M245" s="228">
        <f t="shared" si="69"/>
        <v>0</v>
      </c>
      <c r="N245" s="228">
        <f t="shared" si="69"/>
        <v>0</v>
      </c>
      <c r="O245" s="228">
        <f t="shared" si="69"/>
        <v>65342.71</v>
      </c>
      <c r="P245" s="195">
        <f>C245+D245+E245-F245-G245</f>
        <v>4.6275090426206589E-9</v>
      </c>
      <c r="Q245" s="184"/>
      <c r="W245" s="224"/>
      <c r="X245" s="184"/>
      <c r="Y245" s="184"/>
    </row>
    <row r="246" spans="1:26" ht="13.8" thickTop="1" x14ac:dyDescent="0.25">
      <c r="A246" s="184"/>
      <c r="B246" s="224"/>
      <c r="C246" s="212"/>
      <c r="D246" s="212"/>
      <c r="E246" s="212"/>
      <c r="F246" s="250"/>
      <c r="G246" s="212"/>
      <c r="H246" s="225"/>
      <c r="I246" s="212"/>
      <c r="J246" s="212"/>
      <c r="K246" s="212"/>
      <c r="L246" s="212"/>
      <c r="M246" s="212"/>
      <c r="N246" s="212"/>
      <c r="O246" s="212"/>
      <c r="P246" s="184"/>
      <c r="Q246" s="184"/>
      <c r="W246" s="224"/>
      <c r="Z246" s="224"/>
    </row>
    <row r="247" spans="1:26" x14ac:dyDescent="0.25">
      <c r="A247" s="224" t="s">
        <v>278</v>
      </c>
      <c r="B247" s="184"/>
      <c r="C247" s="212"/>
      <c r="D247" s="213"/>
      <c r="E247" s="213"/>
      <c r="F247" s="221"/>
      <c r="G247" s="215"/>
      <c r="H247" s="216"/>
      <c r="I247" s="215"/>
      <c r="J247" s="215"/>
      <c r="K247" s="215"/>
      <c r="L247" s="213"/>
      <c r="M247" s="213"/>
      <c r="N247" s="213"/>
      <c r="O247" s="213"/>
      <c r="P247" s="184"/>
      <c r="Q247" s="184"/>
    </row>
    <row r="248" spans="1:26" x14ac:dyDescent="0.25">
      <c r="A248" s="184"/>
      <c r="B248" s="184" t="s">
        <v>279</v>
      </c>
      <c r="C248" s="212">
        <v>5000000</v>
      </c>
      <c r="D248" s="213"/>
      <c r="E248" s="213"/>
      <c r="F248" s="221">
        <f>2778210.96+92729.25+1551217.53+577842.26</f>
        <v>5000000</v>
      </c>
      <c r="G248" s="231">
        <v>0</v>
      </c>
      <c r="H248" s="232">
        <v>0</v>
      </c>
      <c r="I248" s="231">
        <v>0</v>
      </c>
      <c r="J248" s="231">
        <v>0</v>
      </c>
      <c r="K248" s="231">
        <v>0</v>
      </c>
      <c r="L248" s="221">
        <f>G248-H248-I248-J248-K248</f>
        <v>0</v>
      </c>
      <c r="M248" s="221">
        <f>H248-N248-O248</f>
        <v>0</v>
      </c>
      <c r="N248" s="221">
        <v>0</v>
      </c>
      <c r="O248" s="221">
        <v>0</v>
      </c>
      <c r="P248" s="195">
        <f t="shared" ref="P248:P262" si="70">C248+D248+E248-F248-G248</f>
        <v>0</v>
      </c>
      <c r="Q248" s="184"/>
      <c r="S248" s="184" t="s">
        <v>249</v>
      </c>
      <c r="T248" s="184" t="s">
        <v>249</v>
      </c>
      <c r="U248" s="184">
        <v>20</v>
      </c>
      <c r="V248" s="184" t="s">
        <v>619</v>
      </c>
      <c r="W248" s="184" t="s">
        <v>11</v>
      </c>
      <c r="X248" s="297">
        <f t="shared" ref="X248:X262" si="71">H248</f>
        <v>0</v>
      </c>
      <c r="Y248" s="297">
        <f t="shared" ref="Y248:Y262" si="72">L248</f>
        <v>0</v>
      </c>
      <c r="Z248" s="184" t="s">
        <v>279</v>
      </c>
    </row>
    <row r="249" spans="1:26" x14ac:dyDescent="0.25">
      <c r="A249" s="184"/>
      <c r="B249" s="184" t="s">
        <v>280</v>
      </c>
      <c r="C249" s="212">
        <v>463000</v>
      </c>
      <c r="D249" s="221"/>
      <c r="E249" s="213"/>
      <c r="F249" s="221">
        <f>378155.03+84844.97</f>
        <v>463000</v>
      </c>
      <c r="G249" s="231">
        <v>0</v>
      </c>
      <c r="H249" s="232">
        <v>0</v>
      </c>
      <c r="I249" s="231"/>
      <c r="J249" s="231">
        <v>0</v>
      </c>
      <c r="K249" s="231">
        <v>0</v>
      </c>
      <c r="L249" s="221">
        <f>G249-H249-I249-J249-K249</f>
        <v>0</v>
      </c>
      <c r="M249" s="221">
        <f>H249-N249-O249</f>
        <v>0</v>
      </c>
      <c r="N249" s="221">
        <v>0</v>
      </c>
      <c r="O249" s="221">
        <v>0</v>
      </c>
      <c r="P249" s="195">
        <f t="shared" si="70"/>
        <v>0</v>
      </c>
      <c r="Q249" s="184"/>
      <c r="S249" s="184" t="s">
        <v>249</v>
      </c>
      <c r="T249" s="184" t="s">
        <v>249</v>
      </c>
      <c r="U249" s="184">
        <v>20</v>
      </c>
      <c r="V249" s="184" t="s">
        <v>619</v>
      </c>
      <c r="W249" s="184" t="s">
        <v>15</v>
      </c>
      <c r="X249" s="297">
        <f t="shared" si="71"/>
        <v>0</v>
      </c>
      <c r="Y249" s="297">
        <f t="shared" si="72"/>
        <v>0</v>
      </c>
      <c r="Z249" s="184" t="s">
        <v>280</v>
      </c>
    </row>
    <row r="250" spans="1:26" x14ac:dyDescent="0.25">
      <c r="A250" s="184"/>
      <c r="B250" s="184" t="s">
        <v>275</v>
      </c>
      <c r="C250" s="212">
        <v>10000000</v>
      </c>
      <c r="D250" s="221">
        <v>-91469.57</v>
      </c>
      <c r="E250" s="213"/>
      <c r="F250" s="221">
        <f>9859707.89+30276.49+18546.05</f>
        <v>9908530.4300000016</v>
      </c>
      <c r="G250" s="231">
        <v>0</v>
      </c>
      <c r="H250" s="232">
        <v>0</v>
      </c>
      <c r="I250" s="231"/>
      <c r="J250" s="231">
        <v>0</v>
      </c>
      <c r="K250" s="231">
        <v>0</v>
      </c>
      <c r="L250" s="221">
        <f>G250-H250-I250-J250-K250</f>
        <v>0</v>
      </c>
      <c r="M250" s="221">
        <f>H250-N250-O250</f>
        <v>0</v>
      </c>
      <c r="N250" s="221">
        <v>0</v>
      </c>
      <c r="O250" s="221">
        <v>0</v>
      </c>
      <c r="P250" s="195">
        <f t="shared" si="70"/>
        <v>-1.862645149230957E-9</v>
      </c>
      <c r="Q250" s="184"/>
      <c r="S250" s="184" t="s">
        <v>249</v>
      </c>
      <c r="T250" s="184" t="s">
        <v>249</v>
      </c>
      <c r="U250" s="184">
        <v>20</v>
      </c>
      <c r="V250" s="184" t="s">
        <v>619</v>
      </c>
      <c r="W250" s="184" t="s">
        <v>18</v>
      </c>
      <c r="X250" s="297">
        <f t="shared" si="71"/>
        <v>0</v>
      </c>
      <c r="Y250" s="297">
        <f t="shared" si="72"/>
        <v>0</v>
      </c>
      <c r="Z250" s="184" t="s">
        <v>275</v>
      </c>
    </row>
    <row r="251" spans="1:26" x14ac:dyDescent="0.25">
      <c r="A251" s="184"/>
      <c r="B251" s="224" t="s">
        <v>201</v>
      </c>
      <c r="C251" s="212"/>
      <c r="D251" s="213"/>
      <c r="E251" s="213"/>
      <c r="F251" s="221"/>
      <c r="G251" s="215"/>
      <c r="H251" s="216"/>
      <c r="I251" s="215"/>
      <c r="J251" s="215"/>
      <c r="K251" s="215"/>
      <c r="L251" s="213"/>
      <c r="M251" s="213"/>
      <c r="N251" s="221"/>
      <c r="O251" s="221"/>
      <c r="P251" s="195">
        <f t="shared" si="70"/>
        <v>0</v>
      </c>
      <c r="Q251" s="184"/>
      <c r="W251" s="224"/>
      <c r="Z251" s="224"/>
    </row>
    <row r="252" spans="1:26" x14ac:dyDescent="0.25">
      <c r="A252" s="184"/>
      <c r="B252" s="184" t="s">
        <v>202</v>
      </c>
      <c r="C252" s="221">
        <v>7300000</v>
      </c>
      <c r="D252" s="221"/>
      <c r="E252" s="221"/>
      <c r="F252" s="221">
        <f>420527.44+1130610.57+5748861.99</f>
        <v>7300000</v>
      </c>
      <c r="G252" s="222">
        <v>0</v>
      </c>
      <c r="H252" s="223">
        <v>0</v>
      </c>
      <c r="I252" s="222">
        <v>0</v>
      </c>
      <c r="J252" s="222">
        <v>0</v>
      </c>
      <c r="K252" s="222">
        <v>0</v>
      </c>
      <c r="L252" s="221">
        <f>G252-H252-I252-J252</f>
        <v>0</v>
      </c>
      <c r="M252" s="221">
        <f t="shared" ref="M252:M262" si="73">H252-N252-O252</f>
        <v>0</v>
      </c>
      <c r="N252" s="221">
        <v>0</v>
      </c>
      <c r="O252" s="221">
        <v>0</v>
      </c>
      <c r="P252" s="195">
        <f t="shared" si="70"/>
        <v>0</v>
      </c>
      <c r="Q252" s="184"/>
      <c r="S252" s="184" t="s">
        <v>249</v>
      </c>
      <c r="T252" s="184" t="s">
        <v>606</v>
      </c>
      <c r="U252" s="367" t="s">
        <v>607</v>
      </c>
      <c r="V252" s="184" t="s">
        <v>619</v>
      </c>
      <c r="W252" s="184" t="s">
        <v>11</v>
      </c>
      <c r="X252" s="297">
        <f t="shared" si="71"/>
        <v>0</v>
      </c>
      <c r="Y252" s="297">
        <f t="shared" si="72"/>
        <v>0</v>
      </c>
      <c r="Z252" s="184" t="s">
        <v>202</v>
      </c>
    </row>
    <row r="253" spans="1:26" x14ac:dyDescent="0.25">
      <c r="A253" s="184"/>
      <c r="B253" s="184" t="s">
        <v>203</v>
      </c>
      <c r="C253" s="221">
        <v>2675000</v>
      </c>
      <c r="D253" s="221"/>
      <c r="E253" s="221"/>
      <c r="F253" s="221">
        <f>48636+4536+17500+238254.32+2127983.58+59368.09+25549.05+3465+18478.54+40801.13+2590.32</f>
        <v>2587162.0299999993</v>
      </c>
      <c r="G253" s="222">
        <v>87837.970000000059</v>
      </c>
      <c r="H253" s="223">
        <v>87837.97</v>
      </c>
      <c r="I253" s="222">
        <f>[5]UMB!I336</f>
        <v>0</v>
      </c>
      <c r="J253" s="222">
        <f>[5]UMB!J336</f>
        <v>0</v>
      </c>
      <c r="K253" s="222">
        <f>[5]UMB!K336</f>
        <v>0</v>
      </c>
      <c r="L253" s="221">
        <f t="shared" ref="L253:L262" si="74">G253-H253-I253-J253-K253</f>
        <v>5.8207660913467407E-11</v>
      </c>
      <c r="M253" s="221">
        <f t="shared" si="73"/>
        <v>0</v>
      </c>
      <c r="N253" s="221">
        <v>0</v>
      </c>
      <c r="O253" s="221">
        <v>87837.97</v>
      </c>
      <c r="P253" s="195">
        <f t="shared" si="70"/>
        <v>6.1118043959140778E-10</v>
      </c>
      <c r="Q253" s="184"/>
      <c r="S253" s="184" t="s">
        <v>249</v>
      </c>
      <c r="T253" s="184" t="s">
        <v>606</v>
      </c>
      <c r="U253" s="367" t="s">
        <v>607</v>
      </c>
      <c r="V253" s="184" t="s">
        <v>619</v>
      </c>
      <c r="W253" s="184" t="s">
        <v>12</v>
      </c>
      <c r="X253" s="297">
        <f t="shared" si="71"/>
        <v>87837.97</v>
      </c>
      <c r="Y253" s="297">
        <f t="shared" si="72"/>
        <v>5.8207660913467407E-11</v>
      </c>
      <c r="Z253" s="184" t="s">
        <v>203</v>
      </c>
    </row>
    <row r="254" spans="1:26" x14ac:dyDescent="0.25">
      <c r="A254" s="184"/>
      <c r="B254" s="184" t="s">
        <v>204</v>
      </c>
      <c r="C254" s="221">
        <v>642000</v>
      </c>
      <c r="D254" s="221"/>
      <c r="E254" s="221"/>
      <c r="F254" s="222">
        <v>642000.00000000012</v>
      </c>
      <c r="G254" s="222">
        <v>0</v>
      </c>
      <c r="H254" s="223">
        <v>0</v>
      </c>
      <c r="I254" s="222">
        <v>0</v>
      </c>
      <c r="J254" s="222">
        <v>0</v>
      </c>
      <c r="K254" s="222">
        <v>0</v>
      </c>
      <c r="L254" s="221">
        <f t="shared" si="74"/>
        <v>0</v>
      </c>
      <c r="M254" s="221">
        <f t="shared" si="73"/>
        <v>0</v>
      </c>
      <c r="N254" s="221">
        <v>0</v>
      </c>
      <c r="O254" s="221">
        <v>0</v>
      </c>
      <c r="P254" s="195">
        <f t="shared" si="70"/>
        <v>-1.1641532182693481E-10</v>
      </c>
      <c r="Q254" s="184"/>
      <c r="S254" s="184" t="s">
        <v>249</v>
      </c>
      <c r="T254" s="184" t="s">
        <v>606</v>
      </c>
      <c r="U254" s="367" t="s">
        <v>607</v>
      </c>
      <c r="V254" s="184" t="s">
        <v>619</v>
      </c>
      <c r="W254" s="184" t="s">
        <v>14</v>
      </c>
      <c r="X254" s="297">
        <f t="shared" si="71"/>
        <v>0</v>
      </c>
      <c r="Y254" s="297">
        <f t="shared" si="72"/>
        <v>0</v>
      </c>
      <c r="Z254" s="184" t="s">
        <v>204</v>
      </c>
    </row>
    <row r="255" spans="1:26" x14ac:dyDescent="0.25">
      <c r="A255" s="184"/>
      <c r="B255" s="184" t="s">
        <v>205</v>
      </c>
      <c r="C255" s="221">
        <v>1452000</v>
      </c>
      <c r="D255" s="221"/>
      <c r="E255" s="221"/>
      <c r="F255" s="221">
        <f>9700+211037.97+1162738.9+68523.13</f>
        <v>1452000</v>
      </c>
      <c r="G255" s="222">
        <v>0</v>
      </c>
      <c r="H255" s="223">
        <v>0</v>
      </c>
      <c r="I255" s="222"/>
      <c r="J255" s="222">
        <v>0</v>
      </c>
      <c r="K255" s="222">
        <v>0</v>
      </c>
      <c r="L255" s="221">
        <f t="shared" si="74"/>
        <v>0</v>
      </c>
      <c r="M255" s="221">
        <f t="shared" si="73"/>
        <v>0</v>
      </c>
      <c r="N255" s="221">
        <v>0</v>
      </c>
      <c r="O255" s="221">
        <v>0</v>
      </c>
      <c r="P255" s="195">
        <f t="shared" si="70"/>
        <v>0</v>
      </c>
      <c r="Q255" s="184"/>
      <c r="S255" s="184" t="s">
        <v>249</v>
      </c>
      <c r="T255" s="184" t="s">
        <v>606</v>
      </c>
      <c r="U255" s="367" t="s">
        <v>607</v>
      </c>
      <c r="V255" s="184" t="s">
        <v>619</v>
      </c>
      <c r="W255" s="184" t="s">
        <v>15</v>
      </c>
      <c r="X255" s="297">
        <f t="shared" si="71"/>
        <v>0</v>
      </c>
      <c r="Y255" s="297">
        <f t="shared" si="72"/>
        <v>0</v>
      </c>
      <c r="Z255" s="184" t="s">
        <v>205</v>
      </c>
    </row>
    <row r="256" spans="1:26" x14ac:dyDescent="0.25">
      <c r="A256" s="184"/>
      <c r="B256" s="184" t="s">
        <v>206</v>
      </c>
      <c r="C256" s="221">
        <v>317000</v>
      </c>
      <c r="D256" s="185"/>
      <c r="E256" s="226">
        <v>-194040.47</v>
      </c>
      <c r="F256" s="226">
        <f>74674+44032.8+4252.73</f>
        <v>122959.53</v>
      </c>
      <c r="G256" s="222">
        <v>0</v>
      </c>
      <c r="H256" s="223">
        <v>0</v>
      </c>
      <c r="I256" s="222"/>
      <c r="J256" s="222">
        <v>0</v>
      </c>
      <c r="K256" s="222">
        <v>0</v>
      </c>
      <c r="L256" s="221">
        <f t="shared" si="74"/>
        <v>0</v>
      </c>
      <c r="M256" s="221">
        <f t="shared" si="73"/>
        <v>0</v>
      </c>
      <c r="N256" s="221">
        <v>0</v>
      </c>
      <c r="O256" s="221">
        <v>0</v>
      </c>
      <c r="P256" s="195">
        <f t="shared" si="70"/>
        <v>0</v>
      </c>
      <c r="Q256" s="184"/>
      <c r="S256" s="184" t="s">
        <v>249</v>
      </c>
      <c r="T256" s="184" t="s">
        <v>606</v>
      </c>
      <c r="U256" s="367" t="s">
        <v>607</v>
      </c>
      <c r="V256" s="184" t="s">
        <v>619</v>
      </c>
      <c r="W256" s="184" t="s">
        <v>16</v>
      </c>
      <c r="X256" s="297">
        <f t="shared" si="71"/>
        <v>0</v>
      </c>
      <c r="Y256" s="297">
        <f t="shared" si="72"/>
        <v>0</v>
      </c>
      <c r="Z256" s="184" t="s">
        <v>206</v>
      </c>
    </row>
    <row r="257" spans="1:26" x14ac:dyDescent="0.25">
      <c r="A257" s="184"/>
      <c r="B257" s="184" t="s">
        <v>207</v>
      </c>
      <c r="C257" s="221">
        <v>554000</v>
      </c>
      <c r="D257" s="221"/>
      <c r="E257" s="221"/>
      <c r="F257" s="221">
        <f>132857.18+1432.44+419000+710.38</f>
        <v>554000</v>
      </c>
      <c r="G257" s="222">
        <v>0</v>
      </c>
      <c r="H257" s="223">
        <v>0</v>
      </c>
      <c r="I257" s="222"/>
      <c r="J257" s="222">
        <v>0</v>
      </c>
      <c r="K257" s="222">
        <v>0</v>
      </c>
      <c r="L257" s="221">
        <f t="shared" si="74"/>
        <v>0</v>
      </c>
      <c r="M257" s="221">
        <f t="shared" si="73"/>
        <v>0</v>
      </c>
      <c r="N257" s="221">
        <v>0</v>
      </c>
      <c r="O257" s="221">
        <v>0</v>
      </c>
      <c r="P257" s="195">
        <f t="shared" si="70"/>
        <v>0</v>
      </c>
      <c r="Q257" s="184"/>
      <c r="S257" s="184" t="s">
        <v>249</v>
      </c>
      <c r="T257" s="184" t="s">
        <v>606</v>
      </c>
      <c r="U257" s="367" t="s">
        <v>607</v>
      </c>
      <c r="V257" s="184" t="s">
        <v>619</v>
      </c>
      <c r="W257" s="184" t="s">
        <v>17</v>
      </c>
      <c r="X257" s="297">
        <f t="shared" si="71"/>
        <v>0</v>
      </c>
      <c r="Y257" s="297">
        <f t="shared" si="72"/>
        <v>0</v>
      </c>
      <c r="Z257" s="184" t="s">
        <v>207</v>
      </c>
    </row>
    <row r="258" spans="1:26" x14ac:dyDescent="0.25">
      <c r="A258" s="184"/>
      <c r="B258" s="184" t="s">
        <v>208</v>
      </c>
      <c r="C258" s="221">
        <v>409000</v>
      </c>
      <c r="D258" s="221"/>
      <c r="E258" s="221"/>
      <c r="F258" s="221">
        <f>239668.9+169331.1</f>
        <v>409000</v>
      </c>
      <c r="G258" s="222">
        <v>0</v>
      </c>
      <c r="H258" s="223">
        <v>0</v>
      </c>
      <c r="I258" s="222"/>
      <c r="J258" s="222">
        <v>0</v>
      </c>
      <c r="K258" s="222">
        <v>0</v>
      </c>
      <c r="L258" s="221">
        <f t="shared" si="74"/>
        <v>0</v>
      </c>
      <c r="M258" s="221">
        <f t="shared" si="73"/>
        <v>0</v>
      </c>
      <c r="N258" s="221">
        <v>0</v>
      </c>
      <c r="O258" s="221">
        <v>0</v>
      </c>
      <c r="P258" s="195">
        <f t="shared" si="70"/>
        <v>0</v>
      </c>
      <c r="Q258" s="184"/>
      <c r="S258" s="184" t="s">
        <v>249</v>
      </c>
      <c r="T258" s="184" t="s">
        <v>606</v>
      </c>
      <c r="U258" s="367" t="s">
        <v>607</v>
      </c>
      <c r="V258" s="184" t="s">
        <v>619</v>
      </c>
      <c r="W258" s="184" t="s">
        <v>18</v>
      </c>
      <c r="X258" s="297">
        <f t="shared" si="71"/>
        <v>0</v>
      </c>
      <c r="Y258" s="297">
        <f t="shared" si="72"/>
        <v>0</v>
      </c>
      <c r="Z258" s="184" t="s">
        <v>208</v>
      </c>
    </row>
    <row r="259" spans="1:26" x14ac:dyDescent="0.25">
      <c r="A259" s="184"/>
      <c r="B259" s="184" t="s">
        <v>209</v>
      </c>
      <c r="C259" s="221">
        <v>645000</v>
      </c>
      <c r="D259" s="185"/>
      <c r="E259" s="221">
        <v>-400000</v>
      </c>
      <c r="F259" s="226">
        <f>49796.39+156674.21+38529.4</f>
        <v>244999.99999999997</v>
      </c>
      <c r="G259" s="222">
        <v>0</v>
      </c>
      <c r="H259" s="223">
        <v>0</v>
      </c>
      <c r="I259" s="222"/>
      <c r="J259" s="222">
        <v>0</v>
      </c>
      <c r="K259" s="222">
        <v>0</v>
      </c>
      <c r="L259" s="221">
        <f t="shared" si="74"/>
        <v>0</v>
      </c>
      <c r="M259" s="221">
        <f t="shared" si="73"/>
        <v>0</v>
      </c>
      <c r="N259" s="221">
        <v>0</v>
      </c>
      <c r="O259" s="221">
        <v>0</v>
      </c>
      <c r="P259" s="195">
        <f t="shared" si="70"/>
        <v>2.9103830456733704E-11</v>
      </c>
      <c r="Q259" s="184"/>
      <c r="S259" s="184" t="s">
        <v>249</v>
      </c>
      <c r="T259" s="184" t="s">
        <v>606</v>
      </c>
      <c r="U259" s="367" t="s">
        <v>607</v>
      </c>
      <c r="V259" s="184" t="s">
        <v>619</v>
      </c>
      <c r="W259" s="184" t="s">
        <v>19</v>
      </c>
      <c r="X259" s="297">
        <f t="shared" si="71"/>
        <v>0</v>
      </c>
      <c r="Y259" s="297">
        <f t="shared" si="72"/>
        <v>0</v>
      </c>
      <c r="Z259" s="184" t="s">
        <v>209</v>
      </c>
    </row>
    <row r="260" spans="1:26" x14ac:dyDescent="0.25">
      <c r="A260" s="184"/>
      <c r="B260" s="184" t="s">
        <v>226</v>
      </c>
      <c r="C260" s="221">
        <v>536000</v>
      </c>
      <c r="D260" s="221"/>
      <c r="E260" s="221"/>
      <c r="F260" s="221">
        <f>113111+422889</f>
        <v>536000</v>
      </c>
      <c r="G260" s="222">
        <v>0</v>
      </c>
      <c r="H260" s="223">
        <v>0</v>
      </c>
      <c r="I260" s="222"/>
      <c r="J260" s="222">
        <v>0</v>
      </c>
      <c r="K260" s="222">
        <v>0</v>
      </c>
      <c r="L260" s="221">
        <f t="shared" si="74"/>
        <v>0</v>
      </c>
      <c r="M260" s="221">
        <f t="shared" si="73"/>
        <v>0</v>
      </c>
      <c r="N260" s="221">
        <v>0</v>
      </c>
      <c r="O260" s="221">
        <v>0</v>
      </c>
      <c r="P260" s="195">
        <f t="shared" si="70"/>
        <v>0</v>
      </c>
      <c r="Q260" s="184"/>
      <c r="S260" s="184" t="s">
        <v>249</v>
      </c>
      <c r="T260" s="184" t="s">
        <v>606</v>
      </c>
      <c r="U260" s="367" t="s">
        <v>607</v>
      </c>
      <c r="V260" s="184" t="s">
        <v>619</v>
      </c>
      <c r="W260" s="184" t="s">
        <v>20</v>
      </c>
      <c r="X260" s="297">
        <f t="shared" si="71"/>
        <v>0</v>
      </c>
      <c r="Y260" s="297">
        <f t="shared" si="72"/>
        <v>0</v>
      </c>
      <c r="Z260" s="184" t="s">
        <v>226</v>
      </c>
    </row>
    <row r="261" spans="1:26" x14ac:dyDescent="0.25">
      <c r="A261" s="184"/>
      <c r="B261" s="184" t="s">
        <v>211</v>
      </c>
      <c r="C261" s="221">
        <v>1589000</v>
      </c>
      <c r="D261" s="221">
        <v>-3243.25</v>
      </c>
      <c r="E261" s="221"/>
      <c r="F261" s="221">
        <f>1300000+277326.79+8429.96</f>
        <v>1585756.75</v>
      </c>
      <c r="G261" s="222">
        <v>0</v>
      </c>
      <c r="H261" s="223">
        <v>0</v>
      </c>
      <c r="I261" s="222"/>
      <c r="J261" s="222">
        <v>0</v>
      </c>
      <c r="K261" s="222">
        <v>0</v>
      </c>
      <c r="L261" s="221">
        <f t="shared" si="74"/>
        <v>0</v>
      </c>
      <c r="M261" s="221">
        <f t="shared" si="73"/>
        <v>0</v>
      </c>
      <c r="N261" s="221">
        <v>0</v>
      </c>
      <c r="O261" s="221">
        <v>0</v>
      </c>
      <c r="P261" s="195">
        <f t="shared" si="70"/>
        <v>0</v>
      </c>
      <c r="Q261" s="184"/>
      <c r="S261" s="184" t="s">
        <v>249</v>
      </c>
      <c r="T261" s="184" t="s">
        <v>606</v>
      </c>
      <c r="U261" s="367" t="s">
        <v>607</v>
      </c>
      <c r="V261" s="184" t="s">
        <v>619</v>
      </c>
      <c r="W261" s="184" t="s">
        <v>21</v>
      </c>
      <c r="X261" s="297">
        <f t="shared" si="71"/>
        <v>0</v>
      </c>
      <c r="Y261" s="297">
        <f t="shared" si="72"/>
        <v>0</v>
      </c>
      <c r="Z261" s="184" t="s">
        <v>211</v>
      </c>
    </row>
    <row r="262" spans="1:26" x14ac:dyDescent="0.25">
      <c r="A262" s="184"/>
      <c r="B262" s="184" t="s">
        <v>212</v>
      </c>
      <c r="C262" s="212">
        <v>418000</v>
      </c>
      <c r="D262" s="213"/>
      <c r="E262" s="213"/>
      <c r="F262" s="221">
        <f>318000+100000</f>
        <v>418000</v>
      </c>
      <c r="G262" s="222">
        <v>0</v>
      </c>
      <c r="H262" s="223">
        <v>0</v>
      </c>
      <c r="I262" s="222"/>
      <c r="J262" s="222">
        <v>0</v>
      </c>
      <c r="K262" s="222">
        <v>0</v>
      </c>
      <c r="L262" s="221">
        <f t="shared" si="74"/>
        <v>0</v>
      </c>
      <c r="M262" s="221">
        <f t="shared" si="73"/>
        <v>0</v>
      </c>
      <c r="N262" s="221">
        <v>0</v>
      </c>
      <c r="O262" s="221">
        <v>0</v>
      </c>
      <c r="P262" s="195">
        <f t="shared" si="70"/>
        <v>0</v>
      </c>
      <c r="Q262" s="184"/>
      <c r="S262" s="184" t="s">
        <v>249</v>
      </c>
      <c r="T262" s="184" t="s">
        <v>606</v>
      </c>
      <c r="U262" s="367" t="s">
        <v>607</v>
      </c>
      <c r="V262" s="184" t="s">
        <v>619</v>
      </c>
      <c r="W262" s="184" t="s">
        <v>22</v>
      </c>
      <c r="X262" s="297">
        <f t="shared" si="71"/>
        <v>0</v>
      </c>
      <c r="Y262" s="297">
        <f t="shared" si="72"/>
        <v>0</v>
      </c>
      <c r="Z262" s="184" t="s">
        <v>212</v>
      </c>
    </row>
    <row r="263" spans="1:26" x14ac:dyDescent="0.25">
      <c r="A263" s="184"/>
      <c r="B263" s="184"/>
      <c r="C263" s="212"/>
      <c r="D263" s="213"/>
      <c r="E263" s="213"/>
      <c r="F263" s="221"/>
      <c r="G263" s="215"/>
      <c r="H263" s="216"/>
      <c r="I263" s="215"/>
      <c r="J263" s="215"/>
      <c r="K263" s="215"/>
      <c r="L263" s="213"/>
      <c r="M263" s="213"/>
      <c r="N263" s="213"/>
      <c r="O263" s="213"/>
      <c r="P263" s="184"/>
      <c r="Q263" s="184"/>
    </row>
    <row r="264" spans="1:26" ht="13.8" thickBot="1" x14ac:dyDescent="0.3">
      <c r="A264" s="184"/>
      <c r="B264" s="227" t="s">
        <v>281</v>
      </c>
      <c r="C264" s="228">
        <f t="shared" ref="C264:O264" si="75">SUM(C248:C263)</f>
        <v>32000000</v>
      </c>
      <c r="D264" s="228">
        <f t="shared" si="75"/>
        <v>-94712.82</v>
      </c>
      <c r="E264" s="228">
        <f t="shared" si="75"/>
        <v>-594040.47</v>
      </c>
      <c r="F264" s="251">
        <f t="shared" si="75"/>
        <v>31223408.740000002</v>
      </c>
      <c r="G264" s="228">
        <f t="shared" si="75"/>
        <v>87837.970000000059</v>
      </c>
      <c r="H264" s="252">
        <f>SUM(H248:H263)</f>
        <v>87837.97</v>
      </c>
      <c r="I264" s="228">
        <f>SUM(I248:I263)</f>
        <v>0</v>
      </c>
      <c r="J264" s="228">
        <f t="shared" si="75"/>
        <v>0</v>
      </c>
      <c r="K264" s="228">
        <f t="shared" si="75"/>
        <v>0</v>
      </c>
      <c r="L264" s="228">
        <f t="shared" si="75"/>
        <v>5.8207660913467407E-11</v>
      </c>
      <c r="M264" s="228">
        <f t="shared" si="75"/>
        <v>0</v>
      </c>
      <c r="N264" s="228">
        <f t="shared" si="75"/>
        <v>0</v>
      </c>
      <c r="O264" s="228">
        <f t="shared" si="75"/>
        <v>87837.97</v>
      </c>
      <c r="P264" s="195">
        <f>C264+D264+E264-F264-G264</f>
        <v>-1.2514647096395493E-9</v>
      </c>
      <c r="Q264" s="184"/>
      <c r="W264" s="224"/>
      <c r="X264" s="184"/>
      <c r="Y264" s="184"/>
    </row>
    <row r="265" spans="1:26" ht="13.8" thickTop="1" x14ac:dyDescent="0.25">
      <c r="A265" s="184"/>
      <c r="B265" s="224"/>
      <c r="C265" s="212"/>
      <c r="D265" s="212"/>
      <c r="E265" s="212"/>
      <c r="F265" s="221"/>
      <c r="G265" s="212"/>
      <c r="H265" s="225"/>
      <c r="I265" s="212"/>
      <c r="J265" s="212"/>
      <c r="K265" s="212"/>
      <c r="L265" s="212"/>
      <c r="M265" s="212"/>
      <c r="N265" s="212"/>
      <c r="O265" s="212"/>
      <c r="P265" s="184"/>
      <c r="Q265" s="184"/>
      <c r="W265" s="224"/>
      <c r="Z265" s="224"/>
    </row>
    <row r="266" spans="1:26" x14ac:dyDescent="0.25">
      <c r="A266" s="224" t="s">
        <v>282</v>
      </c>
      <c r="B266" s="184"/>
      <c r="C266" s="212"/>
      <c r="D266" s="213"/>
      <c r="E266" s="213"/>
      <c r="F266" s="221"/>
      <c r="G266" s="215"/>
      <c r="H266" s="216"/>
      <c r="I266" s="215"/>
      <c r="J266" s="215"/>
      <c r="K266" s="215"/>
      <c r="L266" s="213"/>
      <c r="M266" s="213"/>
      <c r="N266" s="213"/>
      <c r="O266" s="213"/>
      <c r="P266" s="194"/>
      <c r="Q266" s="184"/>
    </row>
    <row r="267" spans="1:26" x14ac:dyDescent="0.25">
      <c r="A267" s="184"/>
      <c r="B267" s="184" t="s">
        <v>283</v>
      </c>
      <c r="C267" s="212">
        <v>10000000</v>
      </c>
      <c r="D267" s="221">
        <v>-1769675.29</v>
      </c>
      <c r="E267" s="213"/>
      <c r="F267" s="221">
        <f>552213+682212+342650+3502647.59+156429.35+2684355.93+300831.87+5989.98+2994.99</f>
        <v>8230324.71</v>
      </c>
      <c r="G267" s="222">
        <v>0</v>
      </c>
      <c r="H267" s="223">
        <v>0</v>
      </c>
      <c r="I267" s="222">
        <f>[2]UMBC!I269</f>
        <v>0</v>
      </c>
      <c r="J267" s="222">
        <f>[2]UMBC!J269</f>
        <v>0</v>
      </c>
      <c r="K267" s="222">
        <f>[2]UMBC!K269</f>
        <v>0</v>
      </c>
      <c r="L267" s="221">
        <f>G267-H267-I267-J267-K267</f>
        <v>0</v>
      </c>
      <c r="M267" s="221">
        <f>H267-N267-O267</f>
        <v>0</v>
      </c>
      <c r="N267" s="221">
        <v>0</v>
      </c>
      <c r="O267" s="221">
        <v>0</v>
      </c>
      <c r="P267" s="195">
        <f t="shared" ref="P267:P285" si="76">C267+D267+E267-F267-G267</f>
        <v>0</v>
      </c>
      <c r="Q267" s="184"/>
      <c r="S267" s="184" t="s">
        <v>249</v>
      </c>
      <c r="T267" s="184" t="s">
        <v>249</v>
      </c>
      <c r="U267" s="184">
        <v>20</v>
      </c>
      <c r="V267" s="184" t="s">
        <v>86</v>
      </c>
      <c r="W267" s="184" t="s">
        <v>15</v>
      </c>
      <c r="X267" s="297">
        <f t="shared" ref="X267:X285" si="77">H267</f>
        <v>0</v>
      </c>
      <c r="Y267" s="297">
        <f t="shared" ref="Y267:Y285" si="78">L267</f>
        <v>0</v>
      </c>
      <c r="Z267" s="184" t="s">
        <v>283</v>
      </c>
    </row>
    <row r="268" spans="1:26" x14ac:dyDescent="0.25">
      <c r="A268" s="184"/>
      <c r="B268" s="224" t="s">
        <v>201</v>
      </c>
      <c r="C268" s="212"/>
      <c r="D268" s="213"/>
      <c r="E268" s="213"/>
      <c r="F268" s="221"/>
      <c r="G268" s="215"/>
      <c r="H268" s="216"/>
      <c r="I268" s="215"/>
      <c r="J268" s="215"/>
      <c r="K268" s="215"/>
      <c r="L268" s="221"/>
      <c r="M268" s="221"/>
      <c r="N268" s="221"/>
      <c r="O268" s="221"/>
      <c r="P268" s="195">
        <f t="shared" si="76"/>
        <v>0</v>
      </c>
      <c r="Q268" s="184"/>
      <c r="W268" s="224"/>
      <c r="Z268" s="224"/>
    </row>
    <row r="269" spans="1:26" x14ac:dyDescent="0.25">
      <c r="A269" s="184"/>
      <c r="B269" s="184" t="s">
        <v>202</v>
      </c>
      <c r="C269" s="212">
        <v>7300000</v>
      </c>
      <c r="D269" s="213"/>
      <c r="E269" s="213"/>
      <c r="F269" s="221">
        <f>521101.62+5465039.68+650600.48+663258.22</f>
        <v>7299999.9999999991</v>
      </c>
      <c r="G269" s="222">
        <v>0</v>
      </c>
      <c r="H269" s="223">
        <v>0</v>
      </c>
      <c r="I269" s="222">
        <f>[2]UMCP!I261</f>
        <v>0</v>
      </c>
      <c r="J269" s="222">
        <f>[2]UMCP!J261</f>
        <v>0</v>
      </c>
      <c r="K269" s="222">
        <v>0</v>
      </c>
      <c r="L269" s="221">
        <f>G269-H269-I269-J269</f>
        <v>0</v>
      </c>
      <c r="M269" s="221">
        <f t="shared" ref="M269:M285" si="79">H269-N269-O269</f>
        <v>0</v>
      </c>
      <c r="N269" s="221"/>
      <c r="O269" s="221">
        <v>0</v>
      </c>
      <c r="P269" s="195">
        <f t="shared" si="76"/>
        <v>9.3132257461547852E-10</v>
      </c>
      <c r="Q269" s="184"/>
      <c r="S269" s="184" t="s">
        <v>249</v>
      </c>
      <c r="T269" s="184" t="s">
        <v>606</v>
      </c>
      <c r="U269" s="367" t="s">
        <v>607</v>
      </c>
      <c r="V269" s="184" t="s">
        <v>86</v>
      </c>
      <c r="W269" s="184" t="s">
        <v>11</v>
      </c>
      <c r="X269" s="297">
        <f t="shared" si="77"/>
        <v>0</v>
      </c>
      <c r="Y269" s="297">
        <f t="shared" si="78"/>
        <v>0</v>
      </c>
      <c r="Z269" s="184" t="s">
        <v>202</v>
      </c>
    </row>
    <row r="270" spans="1:26" x14ac:dyDescent="0.25">
      <c r="A270" s="184"/>
      <c r="B270" s="184" t="s">
        <v>203</v>
      </c>
      <c r="C270" s="212">
        <v>2675000</v>
      </c>
      <c r="D270" s="221">
        <v>-0.44</v>
      </c>
      <c r="E270" s="213"/>
      <c r="F270" s="221">
        <f>255402.95+12508.9+6918.83+51395+1530284.28+792620+5949.45+365.57+8437.42</f>
        <v>2663882.4</v>
      </c>
      <c r="G270" s="222">
        <v>11117.15999999992</v>
      </c>
      <c r="H270" s="223">
        <v>11117.16</v>
      </c>
      <c r="I270" s="222">
        <f>[2]UMB!I346</f>
        <v>0</v>
      </c>
      <c r="J270" s="222">
        <f>[2]UMB!J346</f>
        <v>0</v>
      </c>
      <c r="K270" s="222">
        <v>0</v>
      </c>
      <c r="L270" s="221">
        <f t="shared" ref="L270:L278" si="80">G270-H270-I270-J270-K270</f>
        <v>-8.0035533756017685E-11</v>
      </c>
      <c r="M270" s="221">
        <f t="shared" si="79"/>
        <v>0</v>
      </c>
      <c r="N270" s="221">
        <v>0</v>
      </c>
      <c r="O270" s="221">
        <v>11117.16</v>
      </c>
      <c r="P270" s="195">
        <f t="shared" si="76"/>
        <v>2.2919266484677792E-10</v>
      </c>
      <c r="Q270" s="184"/>
      <c r="S270" s="184" t="s">
        <v>249</v>
      </c>
      <c r="T270" s="184" t="s">
        <v>606</v>
      </c>
      <c r="U270" s="367" t="s">
        <v>607</v>
      </c>
      <c r="V270" s="184" t="s">
        <v>86</v>
      </c>
      <c r="W270" s="184" t="s">
        <v>12</v>
      </c>
      <c r="X270" s="297">
        <f t="shared" si="77"/>
        <v>11117.16</v>
      </c>
      <c r="Y270" s="297">
        <f t="shared" si="78"/>
        <v>-8.0035533756017685E-11</v>
      </c>
      <c r="Z270" s="184" t="s">
        <v>203</v>
      </c>
    </row>
    <row r="271" spans="1:26" x14ac:dyDescent="0.25">
      <c r="A271" s="184"/>
      <c r="B271" s="184" t="s">
        <v>204</v>
      </c>
      <c r="C271" s="212">
        <v>642000</v>
      </c>
      <c r="D271" s="213"/>
      <c r="E271" s="213"/>
      <c r="F271" s="221">
        <f>467739.04+174260.96</f>
        <v>642000</v>
      </c>
      <c r="G271" s="222">
        <v>0</v>
      </c>
      <c r="H271" s="222">
        <v>0</v>
      </c>
      <c r="I271" s="223">
        <v>0</v>
      </c>
      <c r="J271" s="222">
        <f>[2]UMES!J137</f>
        <v>0</v>
      </c>
      <c r="K271" s="222">
        <v>0</v>
      </c>
      <c r="L271" s="221">
        <f t="shared" si="80"/>
        <v>0</v>
      </c>
      <c r="M271" s="221">
        <f t="shared" si="79"/>
        <v>0</v>
      </c>
      <c r="N271" s="221"/>
      <c r="O271" s="221">
        <v>0</v>
      </c>
      <c r="P271" s="195">
        <f t="shared" si="76"/>
        <v>0</v>
      </c>
      <c r="Q271" s="184"/>
      <c r="S271" s="184" t="s">
        <v>249</v>
      </c>
      <c r="T271" s="184" t="s">
        <v>606</v>
      </c>
      <c r="U271" s="367" t="s">
        <v>607</v>
      </c>
      <c r="V271" s="184" t="s">
        <v>86</v>
      </c>
      <c r="W271" s="184" t="s">
        <v>14</v>
      </c>
      <c r="X271" s="297">
        <f t="shared" si="77"/>
        <v>0</v>
      </c>
      <c r="Y271" s="297">
        <f t="shared" si="78"/>
        <v>0</v>
      </c>
      <c r="Z271" s="184" t="s">
        <v>204</v>
      </c>
    </row>
    <row r="272" spans="1:26" x14ac:dyDescent="0.25">
      <c r="A272" s="184"/>
      <c r="B272" s="184" t="s">
        <v>205</v>
      </c>
      <c r="C272" s="212">
        <v>1452000</v>
      </c>
      <c r="D272" s="213"/>
      <c r="E272" s="213"/>
      <c r="F272" s="221">
        <f>11398.09+376900.74+3678+387308.65+333834.19+133880.33+205000</f>
        <v>1452000</v>
      </c>
      <c r="G272" s="222">
        <v>0</v>
      </c>
      <c r="H272" s="222">
        <v>0</v>
      </c>
      <c r="I272" s="223">
        <v>0</v>
      </c>
      <c r="J272" s="222">
        <f>[2]UMBC!J128</f>
        <v>0</v>
      </c>
      <c r="K272" s="222">
        <v>0</v>
      </c>
      <c r="L272" s="221">
        <f t="shared" si="80"/>
        <v>0</v>
      </c>
      <c r="M272" s="221">
        <f t="shared" si="79"/>
        <v>0</v>
      </c>
      <c r="N272" s="221"/>
      <c r="O272" s="221">
        <v>0</v>
      </c>
      <c r="P272" s="195">
        <f t="shared" si="76"/>
        <v>0</v>
      </c>
      <c r="Q272" s="184"/>
      <c r="S272" s="184" t="s">
        <v>249</v>
      </c>
      <c r="T272" s="184" t="s">
        <v>606</v>
      </c>
      <c r="U272" s="367" t="s">
        <v>607</v>
      </c>
      <c r="V272" s="184" t="s">
        <v>86</v>
      </c>
      <c r="W272" s="184" t="s">
        <v>15</v>
      </c>
      <c r="X272" s="297">
        <f t="shared" si="77"/>
        <v>0</v>
      </c>
      <c r="Y272" s="297">
        <f t="shared" si="78"/>
        <v>0</v>
      </c>
      <c r="Z272" s="184" t="s">
        <v>205</v>
      </c>
    </row>
    <row r="273" spans="1:26" x14ac:dyDescent="0.25">
      <c r="A273" s="184"/>
      <c r="B273" s="184" t="s">
        <v>206</v>
      </c>
      <c r="C273" s="212">
        <v>317000</v>
      </c>
      <c r="D273" s="213"/>
      <c r="E273" s="213"/>
      <c r="F273" s="221">
        <f>155066.67+155318.95+6614.38</f>
        <v>317000</v>
      </c>
      <c r="G273" s="222">
        <v>0</v>
      </c>
      <c r="H273" s="222">
        <v>0</v>
      </c>
      <c r="I273" s="223">
        <v>0</v>
      </c>
      <c r="J273" s="222">
        <f>[2]UMCES!J143</f>
        <v>0</v>
      </c>
      <c r="K273" s="222">
        <v>0</v>
      </c>
      <c r="L273" s="221">
        <f t="shared" si="80"/>
        <v>0</v>
      </c>
      <c r="M273" s="221">
        <f t="shared" si="79"/>
        <v>0</v>
      </c>
      <c r="N273" s="221"/>
      <c r="O273" s="221">
        <v>0</v>
      </c>
      <c r="P273" s="195">
        <f t="shared" si="76"/>
        <v>0</v>
      </c>
      <c r="Q273" s="184"/>
      <c r="S273" s="184" t="s">
        <v>249</v>
      </c>
      <c r="T273" s="184" t="s">
        <v>606</v>
      </c>
      <c r="U273" s="367" t="s">
        <v>607</v>
      </c>
      <c r="V273" s="184" t="s">
        <v>86</v>
      </c>
      <c r="W273" s="184" t="s">
        <v>16</v>
      </c>
      <c r="X273" s="297">
        <f t="shared" si="77"/>
        <v>0</v>
      </c>
      <c r="Y273" s="297">
        <f t="shared" si="78"/>
        <v>0</v>
      </c>
      <c r="Z273" s="184" t="s">
        <v>206</v>
      </c>
    </row>
    <row r="274" spans="1:26" x14ac:dyDescent="0.25">
      <c r="A274" s="184"/>
      <c r="B274" s="184" t="s">
        <v>207</v>
      </c>
      <c r="C274" s="212">
        <v>554000</v>
      </c>
      <c r="D274" s="213"/>
      <c r="E274" s="213"/>
      <c r="F274" s="221">
        <f>13775+173037.91+61664+305523.09</f>
        <v>554000</v>
      </c>
      <c r="G274" s="222">
        <v>0</v>
      </c>
      <c r="H274" s="222">
        <v>0</v>
      </c>
      <c r="I274" s="223">
        <v>0</v>
      </c>
      <c r="J274" s="222">
        <f>[2]BSU!J130</f>
        <v>0</v>
      </c>
      <c r="K274" s="222">
        <v>0</v>
      </c>
      <c r="L274" s="221">
        <f t="shared" si="80"/>
        <v>0</v>
      </c>
      <c r="M274" s="221">
        <f t="shared" si="79"/>
        <v>0</v>
      </c>
      <c r="N274" s="221"/>
      <c r="O274" s="221">
        <v>0</v>
      </c>
      <c r="P274" s="195">
        <f t="shared" si="76"/>
        <v>0</v>
      </c>
      <c r="Q274" s="184"/>
      <c r="S274" s="184" t="s">
        <v>249</v>
      </c>
      <c r="T274" s="184" t="s">
        <v>606</v>
      </c>
      <c r="U274" s="367" t="s">
        <v>607</v>
      </c>
      <c r="V274" s="184" t="s">
        <v>86</v>
      </c>
      <c r="W274" s="184" t="s">
        <v>17</v>
      </c>
      <c r="X274" s="297">
        <f t="shared" si="77"/>
        <v>0</v>
      </c>
      <c r="Y274" s="297">
        <f t="shared" si="78"/>
        <v>0</v>
      </c>
      <c r="Z274" s="184" t="s">
        <v>207</v>
      </c>
    </row>
    <row r="275" spans="1:26" x14ac:dyDescent="0.25">
      <c r="A275" s="184"/>
      <c r="B275" s="184" t="s">
        <v>208</v>
      </c>
      <c r="C275" s="212">
        <v>409000</v>
      </c>
      <c r="D275" s="213"/>
      <c r="E275" s="213"/>
      <c r="F275" s="221">
        <f>241560+167440</f>
        <v>409000</v>
      </c>
      <c r="G275" s="222">
        <v>0</v>
      </c>
      <c r="H275" s="222">
        <v>0</v>
      </c>
      <c r="I275" s="223">
        <v>0</v>
      </c>
      <c r="J275" s="222">
        <f>[2]CSU!J187</f>
        <v>0</v>
      </c>
      <c r="K275" s="222">
        <v>0</v>
      </c>
      <c r="L275" s="221">
        <f t="shared" si="80"/>
        <v>0</v>
      </c>
      <c r="M275" s="221">
        <f t="shared" si="79"/>
        <v>0</v>
      </c>
      <c r="N275" s="221"/>
      <c r="O275" s="221">
        <v>0</v>
      </c>
      <c r="P275" s="195">
        <f t="shared" si="76"/>
        <v>0</v>
      </c>
      <c r="Q275" s="184"/>
      <c r="S275" s="184" t="s">
        <v>249</v>
      </c>
      <c r="T275" s="184" t="s">
        <v>606</v>
      </c>
      <c r="U275" s="367" t="s">
        <v>607</v>
      </c>
      <c r="V275" s="184" t="s">
        <v>86</v>
      </c>
      <c r="W275" s="184" t="s">
        <v>18</v>
      </c>
      <c r="X275" s="297">
        <f t="shared" si="77"/>
        <v>0</v>
      </c>
      <c r="Y275" s="297">
        <f t="shared" si="78"/>
        <v>0</v>
      </c>
      <c r="Z275" s="184" t="s">
        <v>208</v>
      </c>
    </row>
    <row r="276" spans="1:26" x14ac:dyDescent="0.25">
      <c r="A276" s="184"/>
      <c r="B276" s="184" t="s">
        <v>209</v>
      </c>
      <c r="C276" s="212">
        <v>645000</v>
      </c>
      <c r="D276" s="221">
        <v>-123.84</v>
      </c>
      <c r="E276" s="213"/>
      <c r="F276" s="221">
        <f>149747.86+233123.53+236648.98+10887.79+14468</f>
        <v>644876.16</v>
      </c>
      <c r="G276" s="222">
        <v>0</v>
      </c>
      <c r="H276" s="222">
        <v>0</v>
      </c>
      <c r="I276" s="223">
        <v>0</v>
      </c>
      <c r="J276" s="222">
        <f>[2]FSU!J160</f>
        <v>0</v>
      </c>
      <c r="K276" s="222">
        <v>0</v>
      </c>
      <c r="L276" s="221">
        <f t="shared" si="80"/>
        <v>0</v>
      </c>
      <c r="M276" s="221">
        <f t="shared" si="79"/>
        <v>0</v>
      </c>
      <c r="N276" s="221"/>
      <c r="O276" s="221">
        <v>0</v>
      </c>
      <c r="P276" s="195">
        <f t="shared" si="76"/>
        <v>0</v>
      </c>
      <c r="Q276" s="184"/>
      <c r="S276" s="184" t="s">
        <v>249</v>
      </c>
      <c r="T276" s="184" t="s">
        <v>606</v>
      </c>
      <c r="U276" s="367" t="s">
        <v>607</v>
      </c>
      <c r="V276" s="184" t="s">
        <v>86</v>
      </c>
      <c r="W276" s="184" t="s">
        <v>19</v>
      </c>
      <c r="X276" s="297">
        <f t="shared" si="77"/>
        <v>0</v>
      </c>
      <c r="Y276" s="297">
        <f t="shared" si="78"/>
        <v>0</v>
      </c>
      <c r="Z276" s="184" t="s">
        <v>209</v>
      </c>
    </row>
    <row r="277" spans="1:26" x14ac:dyDescent="0.25">
      <c r="A277" s="184"/>
      <c r="B277" s="184" t="s">
        <v>226</v>
      </c>
      <c r="C277" s="212">
        <v>536000</v>
      </c>
      <c r="D277" s="213"/>
      <c r="E277" s="213"/>
      <c r="F277" s="221">
        <f>9769.18+136034.79+390196.03</f>
        <v>536000</v>
      </c>
      <c r="G277" s="222">
        <v>0</v>
      </c>
      <c r="H277" s="222">
        <v>0</v>
      </c>
      <c r="I277" s="223">
        <v>0</v>
      </c>
      <c r="J277" s="222">
        <f>[2]SU!J143</f>
        <v>0</v>
      </c>
      <c r="K277" s="222">
        <v>0</v>
      </c>
      <c r="L277" s="221">
        <f t="shared" si="80"/>
        <v>0</v>
      </c>
      <c r="M277" s="221">
        <f t="shared" si="79"/>
        <v>0</v>
      </c>
      <c r="N277" s="221"/>
      <c r="O277" s="221">
        <v>0</v>
      </c>
      <c r="P277" s="195">
        <f t="shared" si="76"/>
        <v>0</v>
      </c>
      <c r="Q277" s="184"/>
      <c r="S277" s="184" t="s">
        <v>249</v>
      </c>
      <c r="T277" s="184" t="s">
        <v>606</v>
      </c>
      <c r="U277" s="367" t="s">
        <v>607</v>
      </c>
      <c r="V277" s="184" t="s">
        <v>86</v>
      </c>
      <c r="W277" s="184" t="s">
        <v>20</v>
      </c>
      <c r="X277" s="297">
        <f t="shared" si="77"/>
        <v>0</v>
      </c>
      <c r="Y277" s="297">
        <f t="shared" si="78"/>
        <v>0</v>
      </c>
      <c r="Z277" s="184" t="s">
        <v>226</v>
      </c>
    </row>
    <row r="278" spans="1:26" x14ac:dyDescent="0.25">
      <c r="A278" s="184"/>
      <c r="B278" s="184" t="s">
        <v>211</v>
      </c>
      <c r="C278" s="212">
        <v>1589000</v>
      </c>
      <c r="D278" s="213"/>
      <c r="E278" s="213"/>
      <c r="F278" s="221">
        <f>13876.75+13876.75+372246.5+900000+276250+12750</f>
        <v>1589000</v>
      </c>
      <c r="G278" s="222">
        <v>0</v>
      </c>
      <c r="H278" s="222">
        <v>0</v>
      </c>
      <c r="I278" s="223">
        <v>0</v>
      </c>
      <c r="J278" s="222">
        <f>[2]TU!J315+[2]TU!J321+[2]TU!J328</f>
        <v>0</v>
      </c>
      <c r="K278" s="222">
        <v>0</v>
      </c>
      <c r="L278" s="221">
        <f t="shared" si="80"/>
        <v>0</v>
      </c>
      <c r="M278" s="221">
        <f t="shared" si="79"/>
        <v>0</v>
      </c>
      <c r="N278" s="221"/>
      <c r="O278" s="221">
        <v>0</v>
      </c>
      <c r="P278" s="195">
        <f t="shared" si="76"/>
        <v>0</v>
      </c>
      <c r="Q278" s="184"/>
      <c r="S278" s="184" t="s">
        <v>249</v>
      </c>
      <c r="T278" s="184" t="s">
        <v>606</v>
      </c>
      <c r="U278" s="367" t="s">
        <v>607</v>
      </c>
      <c r="V278" s="184" t="s">
        <v>86</v>
      </c>
      <c r="W278" s="184" t="s">
        <v>21</v>
      </c>
      <c r="X278" s="297">
        <f t="shared" si="77"/>
        <v>0</v>
      </c>
      <c r="Y278" s="297">
        <f t="shared" si="78"/>
        <v>0</v>
      </c>
      <c r="Z278" s="184" t="s">
        <v>211</v>
      </c>
    </row>
    <row r="279" spans="1:26" x14ac:dyDescent="0.25">
      <c r="A279" s="184"/>
      <c r="B279" s="184" t="s">
        <v>212</v>
      </c>
      <c r="C279" s="212">
        <v>418000</v>
      </c>
      <c r="D279" s="213"/>
      <c r="E279" s="213"/>
      <c r="F279" s="221">
        <v>418000</v>
      </c>
      <c r="G279" s="222">
        <v>0</v>
      </c>
      <c r="H279" s="222">
        <v>0</v>
      </c>
      <c r="I279" s="223">
        <v>0</v>
      </c>
      <c r="J279" s="222">
        <f>[2]UB!J145</f>
        <v>0</v>
      </c>
      <c r="K279" s="222">
        <v>0</v>
      </c>
      <c r="L279" s="221">
        <f>G279-H279-I279-J279</f>
        <v>0</v>
      </c>
      <c r="M279" s="221">
        <f t="shared" si="79"/>
        <v>0</v>
      </c>
      <c r="N279" s="221"/>
      <c r="O279" s="221">
        <v>0</v>
      </c>
      <c r="P279" s="195">
        <f t="shared" si="76"/>
        <v>0</v>
      </c>
      <c r="Q279" s="184"/>
      <c r="S279" s="184" t="s">
        <v>249</v>
      </c>
      <c r="T279" s="184" t="s">
        <v>606</v>
      </c>
      <c r="U279" s="367" t="s">
        <v>607</v>
      </c>
      <c r="V279" s="184" t="s">
        <v>86</v>
      </c>
      <c r="W279" s="184" t="s">
        <v>22</v>
      </c>
      <c r="X279" s="297">
        <f t="shared" si="77"/>
        <v>0</v>
      </c>
      <c r="Y279" s="297">
        <f t="shared" si="78"/>
        <v>0</v>
      </c>
      <c r="Z279" s="184" t="s">
        <v>212</v>
      </c>
    </row>
    <row r="280" spans="1:26" x14ac:dyDescent="0.25">
      <c r="A280" s="184"/>
      <c r="B280" s="224" t="s">
        <v>216</v>
      </c>
      <c r="C280" s="212">
        <v>463000</v>
      </c>
      <c r="D280" s="226"/>
      <c r="E280" s="226">
        <f>7473.73+143543.54+140950.06+80486.28+307.72+1573.79+225393.78+161515+6500+43000+48474-24985+400000-95042.36-352416-347584-73000-829190.54</f>
        <v>-463000.00000000023</v>
      </c>
      <c r="F280" s="226"/>
      <c r="G280" s="222"/>
      <c r="H280" s="222"/>
      <c r="I280" s="222"/>
      <c r="J280" s="222"/>
      <c r="K280" s="222"/>
      <c r="L280" s="221"/>
      <c r="M280" s="221">
        <f t="shared" si="79"/>
        <v>0</v>
      </c>
      <c r="N280" s="221"/>
      <c r="O280" s="221"/>
      <c r="P280" s="195">
        <f t="shared" si="76"/>
        <v>-2.3283064365386963E-10</v>
      </c>
      <c r="Q280" s="184"/>
      <c r="S280" s="184" t="s">
        <v>249</v>
      </c>
      <c r="T280" s="184" t="s">
        <v>606</v>
      </c>
      <c r="U280" s="367" t="s">
        <v>607</v>
      </c>
      <c r="V280" s="184" t="s">
        <v>86</v>
      </c>
      <c r="W280" s="224" t="s">
        <v>56</v>
      </c>
      <c r="X280" s="297">
        <f t="shared" si="77"/>
        <v>0</v>
      </c>
      <c r="Y280" s="297">
        <f t="shared" si="78"/>
        <v>0</v>
      </c>
      <c r="Z280" s="224" t="s">
        <v>216</v>
      </c>
    </row>
    <row r="281" spans="1:26" x14ac:dyDescent="0.25">
      <c r="A281" s="184"/>
      <c r="B281" s="184" t="s">
        <v>284</v>
      </c>
      <c r="C281" s="212"/>
      <c r="D281" s="191"/>
      <c r="E281" s="221">
        <v>95042.36</v>
      </c>
      <c r="F281" s="226">
        <f>18164+76878.36</f>
        <v>95042.36</v>
      </c>
      <c r="G281" s="222">
        <v>0</v>
      </c>
      <c r="H281" s="222">
        <v>0</v>
      </c>
      <c r="I281" s="223">
        <v>0</v>
      </c>
      <c r="J281" s="222">
        <f>[2]UMB!J32</f>
        <v>0</v>
      </c>
      <c r="K281" s="222">
        <v>0</v>
      </c>
      <c r="L281" s="221">
        <f>G281-H281-I281-J281-K281</f>
        <v>0</v>
      </c>
      <c r="M281" s="221">
        <f t="shared" si="79"/>
        <v>0</v>
      </c>
      <c r="N281" s="221"/>
      <c r="O281" s="221">
        <v>0</v>
      </c>
      <c r="P281" s="195">
        <f t="shared" si="76"/>
        <v>0</v>
      </c>
      <c r="Q281" s="184"/>
      <c r="S281" s="184" t="s">
        <v>249</v>
      </c>
      <c r="T281" s="184" t="s">
        <v>606</v>
      </c>
      <c r="U281" s="367" t="s">
        <v>607</v>
      </c>
      <c r="V281" s="184" t="s">
        <v>86</v>
      </c>
      <c r="W281" s="184" t="s">
        <v>12</v>
      </c>
      <c r="X281" s="297">
        <f t="shared" si="77"/>
        <v>0</v>
      </c>
      <c r="Y281" s="297">
        <f t="shared" si="78"/>
        <v>0</v>
      </c>
      <c r="Z281" s="184" t="s">
        <v>284</v>
      </c>
    </row>
    <row r="282" spans="1:26" x14ac:dyDescent="0.25">
      <c r="A282" s="184"/>
      <c r="B282" s="184" t="s">
        <v>285</v>
      </c>
      <c r="C282" s="212"/>
      <c r="D282" s="191"/>
      <c r="E282" s="221">
        <v>24985</v>
      </c>
      <c r="F282" s="226">
        <v>24985</v>
      </c>
      <c r="G282" s="222">
        <v>0</v>
      </c>
      <c r="H282" s="222">
        <v>0</v>
      </c>
      <c r="I282" s="223">
        <v>0</v>
      </c>
      <c r="J282" s="222">
        <f>[2]UMBC!J8</f>
        <v>0</v>
      </c>
      <c r="K282" s="222">
        <v>0</v>
      </c>
      <c r="L282" s="221">
        <f>G282-H282-I282-J282-K282</f>
        <v>0</v>
      </c>
      <c r="M282" s="221">
        <f t="shared" si="79"/>
        <v>0</v>
      </c>
      <c r="N282" s="221"/>
      <c r="O282" s="221">
        <v>0</v>
      </c>
      <c r="P282" s="195">
        <f t="shared" si="76"/>
        <v>0</v>
      </c>
      <c r="Q282" s="184"/>
      <c r="S282" s="184" t="s">
        <v>249</v>
      </c>
      <c r="T282" s="184" t="s">
        <v>606</v>
      </c>
      <c r="U282" s="367" t="s">
        <v>607</v>
      </c>
      <c r="V282" s="184" t="s">
        <v>86</v>
      </c>
      <c r="W282" s="184" t="s">
        <v>15</v>
      </c>
      <c r="X282" s="297">
        <f t="shared" si="77"/>
        <v>0</v>
      </c>
      <c r="Y282" s="297">
        <f t="shared" si="78"/>
        <v>0</v>
      </c>
      <c r="Z282" s="184" t="s">
        <v>285</v>
      </c>
    </row>
    <row r="283" spans="1:26" x14ac:dyDescent="0.25">
      <c r="A283" s="184"/>
      <c r="B283" s="184" t="s">
        <v>286</v>
      </c>
      <c r="C283" s="212"/>
      <c r="D283" s="190"/>
      <c r="E283" s="221">
        <f>352416+194040.47</f>
        <v>546456.47</v>
      </c>
      <c r="F283" s="226">
        <f>8359.4+401330.82+136713.16+53.09</f>
        <v>546456.47</v>
      </c>
      <c r="G283" s="222">
        <v>0</v>
      </c>
      <c r="H283" s="222">
        <v>0</v>
      </c>
      <c r="I283" s="223">
        <v>0</v>
      </c>
      <c r="J283" s="222">
        <f>[2]UMCES!J32</f>
        <v>0</v>
      </c>
      <c r="K283" s="222">
        <v>0</v>
      </c>
      <c r="L283" s="221">
        <f>G283-H283-I283-J283-K283</f>
        <v>0</v>
      </c>
      <c r="M283" s="221">
        <f t="shared" si="79"/>
        <v>0</v>
      </c>
      <c r="N283" s="221"/>
      <c r="O283" s="221">
        <v>0</v>
      </c>
      <c r="P283" s="195">
        <f t="shared" si="76"/>
        <v>0</v>
      </c>
      <c r="Q283" s="184"/>
      <c r="S283" s="184" t="s">
        <v>249</v>
      </c>
      <c r="T283" s="184" t="s">
        <v>606</v>
      </c>
      <c r="U283" s="367" t="s">
        <v>607</v>
      </c>
      <c r="V283" s="184" t="s">
        <v>86</v>
      </c>
      <c r="W283" s="184" t="s">
        <v>16</v>
      </c>
      <c r="X283" s="297">
        <f t="shared" si="77"/>
        <v>0</v>
      </c>
      <c r="Y283" s="297">
        <f t="shared" si="78"/>
        <v>0</v>
      </c>
      <c r="Z283" s="184" t="s">
        <v>286</v>
      </c>
    </row>
    <row r="284" spans="1:26" x14ac:dyDescent="0.25">
      <c r="A284" s="184"/>
      <c r="B284" s="184" t="s">
        <v>287</v>
      </c>
      <c r="C284" s="212"/>
      <c r="D284" s="191"/>
      <c r="E284" s="221">
        <v>347584</v>
      </c>
      <c r="F284" s="222">
        <v>347584</v>
      </c>
      <c r="G284" s="222">
        <v>0</v>
      </c>
      <c r="H284" s="222">
        <v>0</v>
      </c>
      <c r="I284" s="223">
        <v>0</v>
      </c>
      <c r="J284" s="222">
        <f>[2]UMCES!J38</f>
        <v>0</v>
      </c>
      <c r="K284" s="222">
        <v>0</v>
      </c>
      <c r="L284" s="221">
        <f>G284-H284-I284-J284-K284</f>
        <v>0</v>
      </c>
      <c r="M284" s="221">
        <f t="shared" si="79"/>
        <v>0</v>
      </c>
      <c r="N284" s="221"/>
      <c r="O284" s="221">
        <v>0</v>
      </c>
      <c r="P284" s="195">
        <f t="shared" si="76"/>
        <v>0</v>
      </c>
      <c r="Q284" s="184"/>
      <c r="S284" s="184" t="s">
        <v>249</v>
      </c>
      <c r="T284" s="184" t="s">
        <v>606</v>
      </c>
      <c r="U284" s="367" t="s">
        <v>607</v>
      </c>
      <c r="V284" s="184" t="s">
        <v>86</v>
      </c>
      <c r="W284" s="184" t="s">
        <v>16</v>
      </c>
      <c r="X284" s="297">
        <f t="shared" si="77"/>
        <v>0</v>
      </c>
      <c r="Y284" s="297">
        <f t="shared" si="78"/>
        <v>0</v>
      </c>
      <c r="Z284" s="184" t="s">
        <v>287</v>
      </c>
    </row>
    <row r="285" spans="1:26" x14ac:dyDescent="0.25">
      <c r="A285" s="184"/>
      <c r="B285" s="184" t="s">
        <v>288</v>
      </c>
      <c r="C285" s="212"/>
      <c r="D285" s="191"/>
      <c r="E285" s="221">
        <v>73000</v>
      </c>
      <c r="F285" s="226">
        <f>63198.5+1789.6+8011.9</f>
        <v>73000</v>
      </c>
      <c r="G285" s="222">
        <v>0</v>
      </c>
      <c r="H285" s="222">
        <v>0</v>
      </c>
      <c r="I285" s="223">
        <v>0</v>
      </c>
      <c r="J285" s="222">
        <f>[2]CSU!J29</f>
        <v>0</v>
      </c>
      <c r="K285" s="222">
        <v>0</v>
      </c>
      <c r="L285" s="221">
        <f>G285-H285-I285-J285-K285</f>
        <v>0</v>
      </c>
      <c r="M285" s="221">
        <f t="shared" si="79"/>
        <v>0</v>
      </c>
      <c r="N285" s="221"/>
      <c r="O285" s="221">
        <v>0</v>
      </c>
      <c r="P285" s="195">
        <f t="shared" si="76"/>
        <v>0</v>
      </c>
      <c r="Q285" s="184"/>
      <c r="S285" s="184" t="s">
        <v>249</v>
      </c>
      <c r="T285" s="184" t="s">
        <v>606</v>
      </c>
      <c r="U285" s="367" t="s">
        <v>607</v>
      </c>
      <c r="V285" s="184" t="s">
        <v>86</v>
      </c>
      <c r="W285" s="184" t="s">
        <v>18</v>
      </c>
      <c r="X285" s="297">
        <f t="shared" si="77"/>
        <v>0</v>
      </c>
      <c r="Y285" s="297">
        <f t="shared" si="78"/>
        <v>0</v>
      </c>
      <c r="Z285" s="184" t="s">
        <v>288</v>
      </c>
    </row>
    <row r="286" spans="1:26" x14ac:dyDescent="0.25">
      <c r="A286" s="184"/>
      <c r="B286" s="184"/>
      <c r="C286" s="212"/>
      <c r="D286" s="213"/>
      <c r="E286" s="213"/>
      <c r="F286" s="221"/>
      <c r="G286" s="215"/>
      <c r="H286" s="216"/>
      <c r="I286" s="215"/>
      <c r="J286" s="215"/>
      <c r="K286" s="215"/>
      <c r="L286" s="213"/>
      <c r="M286" s="213"/>
      <c r="N286" s="213"/>
      <c r="O286" s="213"/>
      <c r="P286" s="194"/>
      <c r="Q286" s="184"/>
    </row>
    <row r="287" spans="1:26" ht="13.8" thickBot="1" x14ac:dyDescent="0.3">
      <c r="A287" s="184"/>
      <c r="B287" s="227" t="s">
        <v>289</v>
      </c>
      <c r="C287" s="228">
        <f t="shared" ref="C287:K287" si="81">SUM(C267:C286)</f>
        <v>27000000</v>
      </c>
      <c r="D287" s="228">
        <f t="shared" si="81"/>
        <v>-1769799.57</v>
      </c>
      <c r="E287" s="228">
        <f>SUM(E267:E286)</f>
        <v>624067.82999999973</v>
      </c>
      <c r="F287" s="228">
        <f>SUM(F267:F286)</f>
        <v>25843151.099999998</v>
      </c>
      <c r="G287" s="228">
        <f>SUM(G267:G286)</f>
        <v>11117.15999999992</v>
      </c>
      <c r="H287" s="252">
        <f>SUM(H270:H285)</f>
        <v>11117.16</v>
      </c>
      <c r="I287" s="228">
        <f t="shared" si="81"/>
        <v>0</v>
      </c>
      <c r="J287" s="228">
        <f>SUM(J267:J286)</f>
        <v>0</v>
      </c>
      <c r="K287" s="228">
        <f t="shared" si="81"/>
        <v>0</v>
      </c>
      <c r="L287" s="228">
        <f>SUM(L270:L285)</f>
        <v>-8.0035533756017685E-11</v>
      </c>
      <c r="M287" s="228">
        <f>SUM(M270:M285)</f>
        <v>0</v>
      </c>
      <c r="N287" s="228">
        <f>SUM(N267:N286)</f>
        <v>0</v>
      </c>
      <c r="O287" s="228">
        <f>SUM(O267:O286)</f>
        <v>11117.16</v>
      </c>
      <c r="P287" s="195">
        <f>C287+D287+E287-F287-G287</f>
        <v>2.2919266484677792E-10</v>
      </c>
      <c r="Q287" s="184"/>
      <c r="W287" s="224"/>
      <c r="X287" s="184"/>
      <c r="Y287" s="184"/>
    </row>
    <row r="288" spans="1:26" ht="13.8" thickTop="1" x14ac:dyDescent="0.25">
      <c r="A288" s="184"/>
      <c r="B288" s="184"/>
      <c r="C288" s="184"/>
      <c r="D288" s="212"/>
      <c r="E288" s="212"/>
      <c r="F288" s="221"/>
      <c r="G288" s="212"/>
      <c r="H288" s="225"/>
      <c r="I288" s="212"/>
      <c r="J288" s="212"/>
      <c r="K288" s="212"/>
      <c r="L288" s="212"/>
      <c r="M288" s="212"/>
      <c r="N288" s="212"/>
      <c r="O288" s="212"/>
      <c r="P288" s="184"/>
      <c r="Q288" s="184"/>
    </row>
    <row r="289" spans="1:26" x14ac:dyDescent="0.25">
      <c r="A289" s="224" t="s">
        <v>290</v>
      </c>
      <c r="B289" s="184"/>
      <c r="C289" s="212"/>
      <c r="D289" s="213"/>
      <c r="E289" s="213"/>
      <c r="F289" s="221"/>
      <c r="G289" s="215"/>
      <c r="H289" s="216"/>
      <c r="I289" s="215"/>
      <c r="J289" s="215"/>
      <c r="K289" s="215"/>
      <c r="L289" s="213"/>
      <c r="M289" s="213"/>
      <c r="N289" s="213"/>
      <c r="O289" s="213"/>
      <c r="P289" s="194"/>
      <c r="Q289" s="184"/>
    </row>
    <row r="290" spans="1:26" x14ac:dyDescent="0.25">
      <c r="A290" s="184"/>
      <c r="B290" s="184" t="s">
        <v>291</v>
      </c>
      <c r="C290" s="212">
        <v>10000000</v>
      </c>
      <c r="D290" s="221">
        <v>-3587988.18</v>
      </c>
      <c r="E290" s="213"/>
      <c r="F290" s="221">
        <f>1490667.33+4228928.57+685640.92+6775</f>
        <v>6412011.8200000003</v>
      </c>
      <c r="G290" s="222">
        <v>0</v>
      </c>
      <c r="H290" s="223">
        <v>0</v>
      </c>
      <c r="I290" s="222">
        <v>0</v>
      </c>
      <c r="J290" s="222">
        <v>0</v>
      </c>
      <c r="K290" s="222">
        <v>0</v>
      </c>
      <c r="L290" s="221">
        <f>G290-H290-I290-J290-K290</f>
        <v>0</v>
      </c>
      <c r="M290" s="221"/>
      <c r="N290" s="221"/>
      <c r="O290" s="221">
        <f>H288+K288</f>
        <v>0</v>
      </c>
      <c r="P290" s="194"/>
      <c r="Q290" s="184"/>
      <c r="W290" s="184" t="s">
        <v>21</v>
      </c>
      <c r="Z290" s="184" t="s">
        <v>291</v>
      </c>
    </row>
    <row r="291" spans="1:26" x14ac:dyDescent="0.25">
      <c r="A291" s="184"/>
      <c r="B291" s="224" t="s">
        <v>201</v>
      </c>
      <c r="C291" s="212"/>
      <c r="D291" s="213"/>
      <c r="E291" s="213"/>
      <c r="F291" s="221"/>
      <c r="G291" s="215"/>
      <c r="H291" s="216"/>
      <c r="I291" s="215"/>
      <c r="J291" s="215"/>
      <c r="K291" s="215"/>
      <c r="L291" s="221"/>
      <c r="M291" s="221"/>
      <c r="N291" s="221"/>
      <c r="O291" s="221"/>
      <c r="P291" s="194"/>
      <c r="Q291" s="184"/>
      <c r="W291" s="224"/>
      <c r="Z291" s="224"/>
    </row>
    <row r="292" spans="1:26" x14ac:dyDescent="0.25">
      <c r="A292" s="184"/>
      <c r="B292" s="184" t="s">
        <v>202</v>
      </c>
      <c r="C292" s="212">
        <v>7300000</v>
      </c>
      <c r="D292" s="213"/>
      <c r="E292" s="213"/>
      <c r="F292" s="221">
        <f>1586225.13+1035205.6+2985974.53+1290489.45+235900.14+166205.15</f>
        <v>7300000</v>
      </c>
      <c r="G292" s="222">
        <v>0</v>
      </c>
      <c r="H292" s="223">
        <v>0</v>
      </c>
      <c r="I292" s="222">
        <v>0</v>
      </c>
      <c r="J292" s="222">
        <v>0</v>
      </c>
      <c r="K292" s="222">
        <v>0</v>
      </c>
      <c r="L292" s="221">
        <f>G292-H292-I292-J292</f>
        <v>0</v>
      </c>
      <c r="M292" s="221"/>
      <c r="N292" s="221"/>
      <c r="O292" s="221">
        <f>H292+I292+J292+K292</f>
        <v>0</v>
      </c>
      <c r="P292" s="194"/>
      <c r="Q292" s="184"/>
      <c r="W292" s="184" t="s">
        <v>11</v>
      </c>
      <c r="Z292" s="184" t="s">
        <v>202</v>
      </c>
    </row>
    <row r="293" spans="1:26" x14ac:dyDescent="0.25">
      <c r="A293" s="184"/>
      <c r="B293" s="184" t="s">
        <v>203</v>
      </c>
      <c r="C293" s="212">
        <v>2674000</v>
      </c>
      <c r="D293" s="185"/>
      <c r="E293" s="185">
        <v>-800000</v>
      </c>
      <c r="F293" s="226">
        <f>247579.5+271847.12+26480.3+18123.72+1798.8+65682.01+467252.3+681184.63+1679.43+51875.56+24575.41+271.73+679.68</f>
        <v>1859030.1899999997</v>
      </c>
      <c r="G293" s="222">
        <v>14969.809999999772</v>
      </c>
      <c r="H293" s="223">
        <v>14969.81</v>
      </c>
      <c r="I293" s="222">
        <v>0</v>
      </c>
      <c r="J293" s="222">
        <v>0</v>
      </c>
      <c r="K293" s="222">
        <v>0</v>
      </c>
      <c r="L293" s="221">
        <f t="shared" ref="L293:L302" si="82">G293-H293-I293-J293-K293</f>
        <v>-2.2737367544323206E-10</v>
      </c>
      <c r="M293" s="221">
        <f>H293-N293-O293</f>
        <v>0</v>
      </c>
      <c r="N293" s="221">
        <v>0</v>
      </c>
      <c r="O293" s="221">
        <v>14969.81</v>
      </c>
      <c r="P293" s="195">
        <f>C293+D293+E293-F293-G293</f>
        <v>5.1659299060702324E-10</v>
      </c>
      <c r="Q293" s="184"/>
      <c r="S293" s="184" t="s">
        <v>249</v>
      </c>
      <c r="T293" s="184" t="s">
        <v>606</v>
      </c>
      <c r="U293" s="367" t="s">
        <v>607</v>
      </c>
      <c r="V293" s="184" t="s">
        <v>620</v>
      </c>
      <c r="W293" s="184" t="s">
        <v>12</v>
      </c>
      <c r="X293" s="297">
        <f>H293</f>
        <v>14969.81</v>
      </c>
      <c r="Y293" s="297">
        <f>L293</f>
        <v>-2.2737367544323206E-10</v>
      </c>
      <c r="Z293" s="184" t="s">
        <v>203</v>
      </c>
    </row>
    <row r="294" spans="1:26" x14ac:dyDescent="0.25">
      <c r="A294" s="184"/>
      <c r="B294" s="184" t="s">
        <v>204</v>
      </c>
      <c r="C294" s="212">
        <v>645000</v>
      </c>
      <c r="D294" s="213"/>
      <c r="E294" s="213"/>
      <c r="F294" s="221">
        <f>552010.38+92989.62</f>
        <v>645000</v>
      </c>
      <c r="G294" s="222">
        <v>0</v>
      </c>
      <c r="H294" s="223">
        <v>0</v>
      </c>
      <c r="I294" s="222">
        <v>0</v>
      </c>
      <c r="J294" s="222">
        <v>0</v>
      </c>
      <c r="K294" s="222">
        <v>0</v>
      </c>
      <c r="L294" s="221">
        <f t="shared" si="82"/>
        <v>0</v>
      </c>
      <c r="M294" s="221"/>
      <c r="N294" s="221"/>
      <c r="O294" s="221">
        <f t="shared" ref="O294:O302" si="83">H294+I294+J294+K294</f>
        <v>0</v>
      </c>
      <c r="P294" s="194"/>
      <c r="Q294" s="184"/>
      <c r="W294" s="184" t="s">
        <v>14</v>
      </c>
      <c r="Z294" s="184" t="s">
        <v>204</v>
      </c>
    </row>
    <row r="295" spans="1:26" x14ac:dyDescent="0.25">
      <c r="A295" s="184"/>
      <c r="B295" s="184" t="s">
        <v>205</v>
      </c>
      <c r="C295" s="212">
        <v>1451000</v>
      </c>
      <c r="D295" s="221">
        <v>-0.4</v>
      </c>
      <c r="E295" s="213"/>
      <c r="F295" s="221">
        <f>72685.58+84332.3+18769.98+600591.65+200303.9+189111.37+27678.28+5000+96937.87+155588.67</f>
        <v>1450999.6</v>
      </c>
      <c r="G295" s="222">
        <v>0</v>
      </c>
      <c r="H295" s="223">
        <v>0</v>
      </c>
      <c r="I295" s="222">
        <v>0</v>
      </c>
      <c r="J295" s="222">
        <v>0</v>
      </c>
      <c r="K295" s="222">
        <v>0</v>
      </c>
      <c r="L295" s="221">
        <f t="shared" si="82"/>
        <v>0</v>
      </c>
      <c r="M295" s="221"/>
      <c r="N295" s="221"/>
      <c r="O295" s="221">
        <f t="shared" si="83"/>
        <v>0</v>
      </c>
      <c r="P295" s="194"/>
      <c r="Q295" s="184"/>
      <c r="W295" s="184" t="s">
        <v>15</v>
      </c>
      <c r="Z295" s="184" t="s">
        <v>205</v>
      </c>
    </row>
    <row r="296" spans="1:26" x14ac:dyDescent="0.25">
      <c r="A296" s="184"/>
      <c r="B296" s="184" t="s">
        <v>206</v>
      </c>
      <c r="C296" s="212">
        <v>318000</v>
      </c>
      <c r="D296" s="213"/>
      <c r="E296" s="213"/>
      <c r="F296" s="221">
        <f>8056.72+39424.28+260025.8+4241+6252.2</f>
        <v>318000</v>
      </c>
      <c r="G296" s="222">
        <v>0</v>
      </c>
      <c r="H296" s="223">
        <v>0</v>
      </c>
      <c r="I296" s="222">
        <v>0</v>
      </c>
      <c r="J296" s="222">
        <v>0</v>
      </c>
      <c r="K296" s="222">
        <v>0</v>
      </c>
      <c r="L296" s="221">
        <f t="shared" si="82"/>
        <v>0</v>
      </c>
      <c r="M296" s="221"/>
      <c r="N296" s="221"/>
      <c r="O296" s="221">
        <f t="shared" si="83"/>
        <v>0</v>
      </c>
      <c r="P296" s="194"/>
      <c r="Q296" s="184"/>
      <c r="W296" s="184" t="s">
        <v>16</v>
      </c>
      <c r="Z296" s="184" t="s">
        <v>206</v>
      </c>
    </row>
    <row r="297" spans="1:26" x14ac:dyDescent="0.25">
      <c r="A297" s="184"/>
      <c r="B297" s="184" t="s">
        <v>207</v>
      </c>
      <c r="C297" s="212">
        <v>660000</v>
      </c>
      <c r="D297" s="213"/>
      <c r="E297" s="213"/>
      <c r="F297" s="221">
        <f>7000+316983.72+195053.08+17200.1+123763.1</f>
        <v>659999.99999999988</v>
      </c>
      <c r="G297" s="222">
        <v>0</v>
      </c>
      <c r="H297" s="223">
        <v>0</v>
      </c>
      <c r="I297" s="222">
        <v>0</v>
      </c>
      <c r="J297" s="222">
        <v>0</v>
      </c>
      <c r="K297" s="222">
        <v>0</v>
      </c>
      <c r="L297" s="221">
        <f t="shared" si="82"/>
        <v>0</v>
      </c>
      <c r="M297" s="221"/>
      <c r="N297" s="221"/>
      <c r="O297" s="221">
        <f t="shared" si="83"/>
        <v>0</v>
      </c>
      <c r="P297" s="194"/>
      <c r="Q297" s="184"/>
      <c r="W297" s="184" t="s">
        <v>17</v>
      </c>
      <c r="Z297" s="184" t="s">
        <v>207</v>
      </c>
    </row>
    <row r="298" spans="1:26" x14ac:dyDescent="0.25">
      <c r="A298" s="184"/>
      <c r="B298" s="184" t="s">
        <v>208</v>
      </c>
      <c r="C298" s="212">
        <v>410000</v>
      </c>
      <c r="D298" s="213"/>
      <c r="E298" s="213"/>
      <c r="F298" s="221">
        <f>286501.5+123498.5</f>
        <v>410000</v>
      </c>
      <c r="G298" s="222">
        <v>0</v>
      </c>
      <c r="H298" s="223">
        <v>0</v>
      </c>
      <c r="I298" s="222">
        <v>0</v>
      </c>
      <c r="J298" s="222">
        <v>0</v>
      </c>
      <c r="K298" s="222">
        <v>0</v>
      </c>
      <c r="L298" s="221">
        <f t="shared" si="82"/>
        <v>0</v>
      </c>
      <c r="M298" s="221"/>
      <c r="N298" s="221"/>
      <c r="O298" s="221">
        <f t="shared" si="83"/>
        <v>0</v>
      </c>
      <c r="P298" s="194"/>
      <c r="Q298" s="184"/>
      <c r="W298" s="184" t="s">
        <v>18</v>
      </c>
      <c r="Z298" s="184" t="s">
        <v>208</v>
      </c>
    </row>
    <row r="299" spans="1:26" x14ac:dyDescent="0.25">
      <c r="A299" s="184"/>
      <c r="B299" s="184" t="s">
        <v>209</v>
      </c>
      <c r="C299" s="212">
        <v>645000</v>
      </c>
      <c r="D299" s="213"/>
      <c r="E299" s="213"/>
      <c r="F299" s="221">
        <f>314260.2+312045.14+13335+5359.66</f>
        <v>645000.00000000012</v>
      </c>
      <c r="G299" s="222">
        <v>0</v>
      </c>
      <c r="H299" s="223">
        <v>0</v>
      </c>
      <c r="I299" s="222">
        <v>0</v>
      </c>
      <c r="J299" s="222">
        <v>0</v>
      </c>
      <c r="K299" s="222">
        <f>[2]FSU!K170</f>
        <v>0</v>
      </c>
      <c r="L299" s="221">
        <f>G299-H299-I299-J299-K299</f>
        <v>0</v>
      </c>
      <c r="M299" s="221"/>
      <c r="N299" s="221"/>
      <c r="O299" s="221">
        <f t="shared" si="83"/>
        <v>0</v>
      </c>
      <c r="P299" s="194"/>
      <c r="Q299" s="184"/>
      <c r="W299" s="184" t="s">
        <v>19</v>
      </c>
      <c r="Z299" s="184" t="s">
        <v>209</v>
      </c>
    </row>
    <row r="300" spans="1:26" x14ac:dyDescent="0.25">
      <c r="A300" s="184"/>
      <c r="B300" s="184" t="s">
        <v>226</v>
      </c>
      <c r="C300" s="212">
        <v>536000</v>
      </c>
      <c r="D300" s="213"/>
      <c r="E300" s="213"/>
      <c r="F300" s="221">
        <f>248700.5+287299.5</f>
        <v>536000</v>
      </c>
      <c r="G300" s="222">
        <v>0</v>
      </c>
      <c r="H300" s="223">
        <v>0</v>
      </c>
      <c r="I300" s="222">
        <v>0</v>
      </c>
      <c r="J300" s="222">
        <v>0</v>
      </c>
      <c r="K300" s="222">
        <f>[2]SU!K151</f>
        <v>0</v>
      </c>
      <c r="L300" s="221">
        <f t="shared" si="82"/>
        <v>0</v>
      </c>
      <c r="M300" s="221"/>
      <c r="N300" s="221"/>
      <c r="O300" s="221">
        <f t="shared" si="83"/>
        <v>0</v>
      </c>
      <c r="P300" s="194"/>
      <c r="Q300" s="184"/>
      <c r="W300" s="184" t="s">
        <v>20</v>
      </c>
      <c r="Z300" s="184" t="s">
        <v>226</v>
      </c>
    </row>
    <row r="301" spans="1:26" x14ac:dyDescent="0.25">
      <c r="A301" s="184"/>
      <c r="B301" s="184" t="s">
        <v>211</v>
      </c>
      <c r="C301" s="212">
        <v>1589000</v>
      </c>
      <c r="D301" s="213"/>
      <c r="E301" s="213"/>
      <c r="F301" s="221">
        <f>1800+509723+84116.52+68578+170040.86+15741+3765+650035.62+75181.61+10018.39</f>
        <v>1589000</v>
      </c>
      <c r="G301" s="222">
        <v>0</v>
      </c>
      <c r="H301" s="223">
        <v>0</v>
      </c>
      <c r="I301" s="222">
        <v>0</v>
      </c>
      <c r="J301" s="222">
        <v>0</v>
      </c>
      <c r="K301" s="222">
        <v>0</v>
      </c>
      <c r="L301" s="221">
        <f t="shared" si="82"/>
        <v>0</v>
      </c>
      <c r="M301" s="221"/>
      <c r="N301" s="221"/>
      <c r="O301" s="221">
        <f t="shared" si="83"/>
        <v>0</v>
      </c>
      <c r="P301" s="194"/>
      <c r="Q301" s="184"/>
      <c r="W301" s="184" t="s">
        <v>21</v>
      </c>
      <c r="Z301" s="184" t="s">
        <v>211</v>
      </c>
    </row>
    <row r="302" spans="1:26" x14ac:dyDescent="0.25">
      <c r="A302" s="184"/>
      <c r="B302" s="184" t="s">
        <v>212</v>
      </c>
      <c r="C302" s="212">
        <v>425000</v>
      </c>
      <c r="D302" s="213"/>
      <c r="E302" s="213"/>
      <c r="F302" s="221">
        <f>46860+128116+250024</f>
        <v>425000</v>
      </c>
      <c r="G302" s="222">
        <v>0</v>
      </c>
      <c r="H302" s="223">
        <v>0</v>
      </c>
      <c r="I302" s="222">
        <v>0</v>
      </c>
      <c r="J302" s="222">
        <v>0</v>
      </c>
      <c r="K302" s="222">
        <v>0</v>
      </c>
      <c r="L302" s="221">
        <f t="shared" si="82"/>
        <v>0</v>
      </c>
      <c r="M302" s="221"/>
      <c r="N302" s="221"/>
      <c r="O302" s="221">
        <f t="shared" si="83"/>
        <v>0</v>
      </c>
      <c r="P302" s="194"/>
      <c r="Q302" s="184"/>
      <c r="W302" s="184" t="s">
        <v>22</v>
      </c>
      <c r="Z302" s="184" t="s">
        <v>212</v>
      </c>
    </row>
    <row r="303" spans="1:26" x14ac:dyDescent="0.25">
      <c r="A303" s="184"/>
      <c r="B303" s="224" t="s">
        <v>216</v>
      </c>
      <c r="C303" s="212">
        <v>347000</v>
      </c>
      <c r="D303" s="221"/>
      <c r="E303" s="221">
        <f>800000-800000-90000-175000-82000+80000-80000</f>
        <v>-347000</v>
      </c>
      <c r="F303" s="226"/>
      <c r="G303" s="222"/>
      <c r="H303" s="223"/>
      <c r="I303" s="222"/>
      <c r="J303" s="222"/>
      <c r="K303" s="222"/>
      <c r="L303" s="221"/>
      <c r="M303" s="221"/>
      <c r="N303" s="221"/>
      <c r="O303" s="221"/>
      <c r="P303" s="194"/>
      <c r="Q303" s="184"/>
      <c r="W303" s="224" t="s">
        <v>56</v>
      </c>
      <c r="Z303" s="224" t="s">
        <v>216</v>
      </c>
    </row>
    <row r="304" spans="1:26" x14ac:dyDescent="0.25">
      <c r="A304" s="184"/>
      <c r="B304" s="184" t="s">
        <v>292</v>
      </c>
      <c r="C304" s="212"/>
      <c r="D304" s="185"/>
      <c r="E304" s="221">
        <v>800000</v>
      </c>
      <c r="F304" s="226">
        <f>81417.06+68250.66+63946.13+353280.72+105599.62+3987.61+108205.87+15312.33</f>
        <v>799999.99999999988</v>
      </c>
      <c r="G304" s="222">
        <v>0</v>
      </c>
      <c r="H304" s="223">
        <v>0</v>
      </c>
      <c r="I304" s="222">
        <v>0</v>
      </c>
      <c r="J304" s="222">
        <v>0</v>
      </c>
      <c r="K304" s="222">
        <v>0</v>
      </c>
      <c r="L304" s="221">
        <f>G304-H304-I304-J304-K304</f>
        <v>0</v>
      </c>
      <c r="M304" s="221"/>
      <c r="N304" s="221"/>
      <c r="O304" s="221">
        <f>H304+I304+J304+K304</f>
        <v>0</v>
      </c>
      <c r="P304" s="194"/>
      <c r="Q304" s="184"/>
      <c r="W304" s="184" t="s">
        <v>12</v>
      </c>
      <c r="Z304" s="184" t="s">
        <v>292</v>
      </c>
    </row>
    <row r="305" spans="1:26" x14ac:dyDescent="0.25">
      <c r="A305" s="184"/>
      <c r="B305" s="184" t="s">
        <v>293</v>
      </c>
      <c r="C305" s="212"/>
      <c r="D305" s="185"/>
      <c r="E305" s="221">
        <v>90000</v>
      </c>
      <c r="F305" s="226">
        <f>71795.27+18204.73</f>
        <v>90000</v>
      </c>
      <c r="G305" s="222">
        <v>0</v>
      </c>
      <c r="H305" s="223">
        <v>0</v>
      </c>
      <c r="I305" s="222">
        <v>0</v>
      </c>
      <c r="J305" s="222">
        <v>0</v>
      </c>
      <c r="K305" s="222">
        <v>0</v>
      </c>
      <c r="L305" s="221">
        <f>G305-H305-I305-J305-K305</f>
        <v>0</v>
      </c>
      <c r="M305" s="221"/>
      <c r="N305" s="221"/>
      <c r="O305" s="221">
        <f>H305+I305+J305+K305</f>
        <v>0</v>
      </c>
      <c r="P305" s="194"/>
      <c r="Q305" s="184"/>
      <c r="W305" s="184" t="s">
        <v>16</v>
      </c>
      <c r="Z305" s="184" t="s">
        <v>293</v>
      </c>
    </row>
    <row r="306" spans="1:26" x14ac:dyDescent="0.25">
      <c r="A306" s="184"/>
      <c r="B306" s="184" t="s">
        <v>294</v>
      </c>
      <c r="C306" s="212"/>
      <c r="D306" s="185"/>
      <c r="E306" s="221">
        <f>175000+80000</f>
        <v>255000</v>
      </c>
      <c r="F306" s="226">
        <f>248792.86+6207.14</f>
        <v>255000</v>
      </c>
      <c r="G306" s="222">
        <v>0</v>
      </c>
      <c r="H306" s="223">
        <v>0</v>
      </c>
      <c r="I306" s="222">
        <v>0</v>
      </c>
      <c r="J306" s="222">
        <v>0</v>
      </c>
      <c r="K306" s="222">
        <v>0</v>
      </c>
      <c r="L306" s="221">
        <f>G306-H306-I306-J306-K306</f>
        <v>0</v>
      </c>
      <c r="M306" s="221"/>
      <c r="N306" s="221"/>
      <c r="O306" s="221">
        <f>H306+I306+J306+K306</f>
        <v>0</v>
      </c>
      <c r="P306" s="194"/>
      <c r="Q306" s="184"/>
      <c r="W306" s="184" t="s">
        <v>16</v>
      </c>
      <c r="Z306" s="184" t="s">
        <v>294</v>
      </c>
    </row>
    <row r="307" spans="1:26" x14ac:dyDescent="0.25">
      <c r="A307" s="184"/>
      <c r="B307" s="224"/>
      <c r="C307" s="212"/>
      <c r="D307" s="221"/>
      <c r="E307" s="213"/>
      <c r="F307" s="221"/>
      <c r="G307" s="215"/>
      <c r="H307" s="216"/>
      <c r="I307" s="215"/>
      <c r="J307" s="215"/>
      <c r="K307" s="215"/>
      <c r="L307" s="213"/>
      <c r="M307" s="213"/>
      <c r="N307" s="213"/>
      <c r="O307" s="213"/>
      <c r="P307" s="194"/>
      <c r="Q307" s="184"/>
      <c r="W307" s="224"/>
      <c r="Z307" s="224"/>
    </row>
    <row r="308" spans="1:26" ht="13.8" thickBot="1" x14ac:dyDescent="0.3">
      <c r="A308" s="184"/>
      <c r="B308" s="227" t="s">
        <v>295</v>
      </c>
      <c r="C308" s="228">
        <f>SUM(C290:C306)</f>
        <v>27000000</v>
      </c>
      <c r="D308" s="228">
        <f>SUM(D289:D306)</f>
        <v>-3587988.58</v>
      </c>
      <c r="E308" s="228">
        <f>SUM(E289:E306)</f>
        <v>-2000</v>
      </c>
      <c r="F308" s="251">
        <f t="shared" ref="F308:O308" si="84">SUM(F290:F306)</f>
        <v>23395041.609999999</v>
      </c>
      <c r="G308" s="228">
        <f t="shared" si="84"/>
        <v>14969.809999999772</v>
      </c>
      <c r="H308" s="252">
        <f t="shared" si="84"/>
        <v>14969.81</v>
      </c>
      <c r="I308" s="228">
        <f t="shared" si="84"/>
        <v>0</v>
      </c>
      <c r="J308" s="228">
        <f t="shared" si="84"/>
        <v>0</v>
      </c>
      <c r="K308" s="228">
        <f t="shared" si="84"/>
        <v>0</v>
      </c>
      <c r="L308" s="228">
        <f t="shared" si="84"/>
        <v>-2.2737367544323206E-10</v>
      </c>
      <c r="M308" s="228">
        <f t="shared" si="84"/>
        <v>0</v>
      </c>
      <c r="N308" s="228">
        <f t="shared" si="84"/>
        <v>0</v>
      </c>
      <c r="O308" s="228">
        <f t="shared" si="84"/>
        <v>14969.81</v>
      </c>
      <c r="P308" s="195">
        <f>C308+D308+E308-F308-G308</f>
        <v>2.6120687834918499E-9</v>
      </c>
      <c r="Q308" s="184"/>
      <c r="W308" s="224"/>
      <c r="X308" s="184"/>
      <c r="Y308" s="184"/>
    </row>
    <row r="309" spans="1:26" ht="13.8" thickTop="1" x14ac:dyDescent="0.25">
      <c r="A309" s="184"/>
      <c r="B309" s="224"/>
      <c r="C309" s="212"/>
      <c r="D309" s="213"/>
      <c r="E309" s="213"/>
      <c r="F309" s="250"/>
      <c r="G309" s="215"/>
      <c r="H309" s="216"/>
      <c r="I309" s="215"/>
      <c r="J309" s="215"/>
      <c r="K309" s="215"/>
      <c r="L309" s="213"/>
      <c r="M309" s="213"/>
      <c r="N309" s="213"/>
      <c r="O309" s="213"/>
      <c r="P309" s="184"/>
      <c r="Q309" s="184"/>
      <c r="W309" s="224"/>
      <c r="Z309" s="224"/>
    </row>
    <row r="310" spans="1:26" x14ac:dyDescent="0.25">
      <c r="A310" s="224" t="s">
        <v>296</v>
      </c>
      <c r="B310" s="184"/>
      <c r="C310" s="212"/>
      <c r="D310" s="213"/>
      <c r="E310" s="215"/>
      <c r="F310" s="221"/>
      <c r="G310" s="213"/>
      <c r="H310" s="217"/>
      <c r="I310" s="213"/>
      <c r="J310" s="213"/>
      <c r="K310" s="213"/>
      <c r="L310" s="213"/>
      <c r="M310" s="213"/>
      <c r="N310" s="213"/>
      <c r="O310" s="213"/>
      <c r="P310" s="184"/>
      <c r="Q310" s="184"/>
    </row>
    <row r="311" spans="1:26" x14ac:dyDescent="0.25">
      <c r="A311" s="224"/>
      <c r="B311" s="184" t="s">
        <v>297</v>
      </c>
      <c r="C311" s="212">
        <v>9000000</v>
      </c>
      <c r="D311" s="213"/>
      <c r="E311" s="215"/>
      <c r="F311" s="221">
        <f>5977649.54+217797.59+2137758.66+6607.32+14930.21+31859.85+29432.82+5202.72+6795.29+69907.85+22554.51+6238.44+282835.57+163400.25+5340.99+21688.39</f>
        <v>9000000</v>
      </c>
      <c r="G311" s="222">
        <v>0</v>
      </c>
      <c r="H311" s="223">
        <v>0</v>
      </c>
      <c r="I311" s="222"/>
      <c r="J311" s="222">
        <v>0</v>
      </c>
      <c r="K311" s="222">
        <v>0</v>
      </c>
      <c r="L311" s="221">
        <f>G311-H311-I311-J311-K311</f>
        <v>0</v>
      </c>
      <c r="M311" s="221"/>
      <c r="N311" s="221"/>
      <c r="O311" s="221">
        <f>H311+I311+J311+K311</f>
        <v>0</v>
      </c>
      <c r="P311" s="184"/>
      <c r="Q311" s="184"/>
    </row>
    <row r="312" spans="1:26" x14ac:dyDescent="0.25">
      <c r="A312" s="224"/>
      <c r="B312" s="184" t="s">
        <v>298</v>
      </c>
      <c r="C312" s="212">
        <v>1000000</v>
      </c>
      <c r="D312" s="213"/>
      <c r="E312" s="215"/>
      <c r="F312" s="221">
        <f>16000+12600+34902+936498</f>
        <v>1000000</v>
      </c>
      <c r="G312" s="222">
        <v>0</v>
      </c>
      <c r="H312" s="223">
        <v>0</v>
      </c>
      <c r="I312" s="222"/>
      <c r="J312" s="222">
        <v>0</v>
      </c>
      <c r="K312" s="222">
        <v>0</v>
      </c>
      <c r="L312" s="221">
        <f>G312-H312-I312-J312</f>
        <v>0</v>
      </c>
      <c r="M312" s="221"/>
      <c r="N312" s="221"/>
      <c r="O312" s="221">
        <f>H312+I312+J312+K312</f>
        <v>0</v>
      </c>
      <c r="P312" s="184"/>
      <c r="Q312" s="184"/>
    </row>
    <row r="313" spans="1:26" x14ac:dyDescent="0.25">
      <c r="A313" s="224"/>
      <c r="B313" s="224" t="s">
        <v>201</v>
      </c>
      <c r="C313" s="212"/>
      <c r="D313" s="213"/>
      <c r="E313" s="215"/>
      <c r="F313" s="221"/>
      <c r="G313" s="221"/>
      <c r="H313" s="226"/>
      <c r="I313" s="221"/>
      <c r="J313" s="221"/>
      <c r="K313" s="221"/>
      <c r="L313" s="221"/>
      <c r="M313" s="221"/>
      <c r="N313" s="221"/>
      <c r="O313" s="221"/>
      <c r="P313" s="184"/>
      <c r="Q313" s="184"/>
      <c r="W313" s="224"/>
      <c r="Z313" s="224"/>
    </row>
    <row r="314" spans="1:26" x14ac:dyDescent="0.25">
      <c r="A314" s="224"/>
      <c r="B314" s="184" t="s">
        <v>202</v>
      </c>
      <c r="C314" s="212">
        <v>7060000</v>
      </c>
      <c r="D314" s="213"/>
      <c r="E314" s="215"/>
      <c r="F314" s="221">
        <f>1546923.37+1447116.35+1273174.6+1135336.22+666923.08+196580.58+793945.8</f>
        <v>7060000</v>
      </c>
      <c r="G314" s="221">
        <v>0</v>
      </c>
      <c r="H314" s="226">
        <v>0</v>
      </c>
      <c r="I314" s="221">
        <v>0</v>
      </c>
      <c r="J314" s="221">
        <v>0</v>
      </c>
      <c r="K314" s="221">
        <v>0</v>
      </c>
      <c r="L314" s="221">
        <v>0</v>
      </c>
      <c r="M314" s="221"/>
      <c r="N314" s="221"/>
      <c r="O314" s="221">
        <f>H314+I314+J314+K314</f>
        <v>0</v>
      </c>
      <c r="P314" s="184"/>
      <c r="Q314" s="184"/>
      <c r="W314" s="184" t="s">
        <v>11</v>
      </c>
      <c r="Z314" s="184" t="s">
        <v>202</v>
      </c>
    </row>
    <row r="315" spans="1:26" x14ac:dyDescent="0.25">
      <c r="A315" s="224"/>
      <c r="B315" s="184" t="s">
        <v>203</v>
      </c>
      <c r="C315" s="212">
        <v>2515000</v>
      </c>
      <c r="D315" s="221"/>
      <c r="E315" s="215"/>
      <c r="F315" s="221">
        <f>95799+121126.6+382459+312204.5+91850.75+520650.28+194790.24+138986.95+1242.65+83400.01+10990.51+50953.36+313263.98+113226.25+37149.1+20376.32+588+7140+4708.2+235.2</f>
        <v>2501140.9000000004</v>
      </c>
      <c r="G315" s="221">
        <v>13859.099999999868</v>
      </c>
      <c r="H315" s="226">
        <v>13859.1</v>
      </c>
      <c r="I315" s="221">
        <f>[5]UMB!I412</f>
        <v>0</v>
      </c>
      <c r="J315" s="221">
        <f>[5]UMB!J412</f>
        <v>0</v>
      </c>
      <c r="K315" s="221">
        <f>[5]UMB!K412</f>
        <v>0</v>
      </c>
      <c r="L315" s="221">
        <f t="shared" ref="L315:L325" si="85">G315-H315-I315-J315-K315</f>
        <v>-1.3278622645884752E-10</v>
      </c>
      <c r="M315" s="221">
        <f>H315-N315-O315</f>
        <v>0</v>
      </c>
      <c r="N315" s="221">
        <v>0</v>
      </c>
      <c r="O315" s="221">
        <v>13859.1</v>
      </c>
      <c r="P315" s="195">
        <f>C315+D315+E315-F315-G315</f>
        <v>-2.4010660126805305E-10</v>
      </c>
      <c r="Q315" s="184"/>
      <c r="S315" s="184" t="s">
        <v>249</v>
      </c>
      <c r="T315" s="184" t="s">
        <v>606</v>
      </c>
      <c r="U315" s="367" t="s">
        <v>607</v>
      </c>
      <c r="V315" s="184" t="s">
        <v>37</v>
      </c>
      <c r="W315" s="184" t="s">
        <v>12</v>
      </c>
      <c r="X315" s="297">
        <f>H315</f>
        <v>13859.1</v>
      </c>
      <c r="Y315" s="297">
        <f>L315</f>
        <v>-1.3278622645884752E-10</v>
      </c>
      <c r="Z315" s="184" t="s">
        <v>203</v>
      </c>
    </row>
    <row r="316" spans="1:26" x14ac:dyDescent="0.25">
      <c r="A316" s="224"/>
      <c r="B316" s="184" t="s">
        <v>299</v>
      </c>
      <c r="C316" s="212">
        <v>568000</v>
      </c>
      <c r="D316" s="221"/>
      <c r="E316" s="222">
        <v>-311231.58</v>
      </c>
      <c r="F316" s="221">
        <f>56077+12000+96109.43+78749.97+1280.78+9591.83+2959.41</f>
        <v>256768.41999999998</v>
      </c>
      <c r="G316" s="221">
        <v>0</v>
      </c>
      <c r="H316" s="226">
        <v>0</v>
      </c>
      <c r="I316" s="221">
        <f>[5]UMBI!I65</f>
        <v>0</v>
      </c>
      <c r="J316" s="221">
        <f>[5]UMBI!J65</f>
        <v>0</v>
      </c>
      <c r="K316" s="221">
        <f>[5]UMBI!K65</f>
        <v>0</v>
      </c>
      <c r="L316" s="221">
        <f t="shared" si="85"/>
        <v>0</v>
      </c>
      <c r="M316" s="221"/>
      <c r="N316" s="221"/>
      <c r="O316" s="221">
        <f t="shared" ref="O316:O325" si="86">H316+I316+J316+K316</f>
        <v>0</v>
      </c>
      <c r="P316" s="184"/>
      <c r="Q316" s="184"/>
      <c r="W316" s="184" t="s">
        <v>13</v>
      </c>
      <c r="Z316" s="184" t="s">
        <v>299</v>
      </c>
    </row>
    <row r="317" spans="1:26" x14ac:dyDescent="0.25">
      <c r="A317" s="224"/>
      <c r="B317" s="184" t="s">
        <v>204</v>
      </c>
      <c r="C317" s="212">
        <v>642000</v>
      </c>
      <c r="D317" s="221">
        <v>-76885.95</v>
      </c>
      <c r="E317" s="222"/>
      <c r="F317" s="226">
        <f>192000+99265.52+176366.44+44494.69+35172.5+1180+8589.9+8045</f>
        <v>565114.05000000005</v>
      </c>
      <c r="G317" s="222">
        <v>0</v>
      </c>
      <c r="H317" s="223">
        <v>0</v>
      </c>
      <c r="I317" s="222"/>
      <c r="J317" s="222">
        <v>0</v>
      </c>
      <c r="K317" s="222">
        <v>0</v>
      </c>
      <c r="L317" s="221">
        <f t="shared" si="85"/>
        <v>0</v>
      </c>
      <c r="M317" s="221"/>
      <c r="N317" s="221"/>
      <c r="O317" s="221">
        <f t="shared" si="86"/>
        <v>0</v>
      </c>
      <c r="P317" s="184"/>
      <c r="Q317" s="184"/>
      <c r="W317" s="184" t="s">
        <v>14</v>
      </c>
      <c r="Z317" s="184" t="s">
        <v>204</v>
      </c>
    </row>
    <row r="318" spans="1:26" x14ac:dyDescent="0.25">
      <c r="A318" s="224"/>
      <c r="B318" s="184" t="s">
        <v>205</v>
      </c>
      <c r="C318" s="212">
        <v>1247000</v>
      </c>
      <c r="D318" s="221"/>
      <c r="E318" s="215"/>
      <c r="F318" s="221">
        <f>240381.96+696788.93+130744.47+128930.15+10239.46+279.7+39635.33</f>
        <v>1247000</v>
      </c>
      <c r="G318" s="222">
        <v>0</v>
      </c>
      <c r="H318" s="223">
        <v>0</v>
      </c>
      <c r="I318" s="222"/>
      <c r="J318" s="222">
        <v>0</v>
      </c>
      <c r="K318" s="222">
        <v>0</v>
      </c>
      <c r="L318" s="221">
        <f t="shared" si="85"/>
        <v>0</v>
      </c>
      <c r="M318" s="221"/>
      <c r="N318" s="221"/>
      <c r="O318" s="221">
        <f t="shared" si="86"/>
        <v>0</v>
      </c>
      <c r="P318" s="184"/>
      <c r="Q318" s="184"/>
      <c r="W318" s="184" t="s">
        <v>15</v>
      </c>
      <c r="Z318" s="184" t="s">
        <v>205</v>
      </c>
    </row>
    <row r="319" spans="1:26" x14ac:dyDescent="0.25">
      <c r="A319" s="224"/>
      <c r="B319" s="184" t="s">
        <v>206</v>
      </c>
      <c r="C319" s="212">
        <v>317000</v>
      </c>
      <c r="D319" s="221"/>
      <c r="E319" s="215"/>
      <c r="F319" s="221">
        <f>11475+138157.46+57562.54+109805</f>
        <v>317000</v>
      </c>
      <c r="G319" s="222">
        <v>0</v>
      </c>
      <c r="H319" s="223">
        <v>0</v>
      </c>
      <c r="I319" s="222"/>
      <c r="J319" s="222">
        <v>0</v>
      </c>
      <c r="K319" s="222">
        <v>0</v>
      </c>
      <c r="L319" s="221">
        <f t="shared" si="85"/>
        <v>0</v>
      </c>
      <c r="M319" s="221"/>
      <c r="N319" s="221"/>
      <c r="O319" s="221">
        <f t="shared" si="86"/>
        <v>0</v>
      </c>
      <c r="P319" s="184"/>
      <c r="Q319" s="184"/>
      <c r="W319" s="184" t="s">
        <v>16</v>
      </c>
      <c r="Z319" s="184" t="s">
        <v>206</v>
      </c>
    </row>
    <row r="320" spans="1:26" x14ac:dyDescent="0.25">
      <c r="A320" s="224"/>
      <c r="B320" s="184" t="s">
        <v>207</v>
      </c>
      <c r="C320" s="212">
        <v>554000</v>
      </c>
      <c r="D320" s="221"/>
      <c r="E320" s="215"/>
      <c r="F320" s="221">
        <f>286415+179353.1-127025.1+82343.07+132381.4+532.53</f>
        <v>554000</v>
      </c>
      <c r="G320" s="222">
        <v>0</v>
      </c>
      <c r="H320" s="223">
        <v>0</v>
      </c>
      <c r="I320" s="222"/>
      <c r="J320" s="222">
        <v>0</v>
      </c>
      <c r="K320" s="222">
        <v>0</v>
      </c>
      <c r="L320" s="221">
        <f t="shared" si="85"/>
        <v>0</v>
      </c>
      <c r="M320" s="221"/>
      <c r="N320" s="221"/>
      <c r="O320" s="221">
        <f t="shared" si="86"/>
        <v>0</v>
      </c>
      <c r="P320" s="184"/>
      <c r="Q320" s="184"/>
      <c r="W320" s="184" t="s">
        <v>17</v>
      </c>
      <c r="Z320" s="184" t="s">
        <v>207</v>
      </c>
    </row>
    <row r="321" spans="1:26" x14ac:dyDescent="0.25">
      <c r="A321" s="224"/>
      <c r="B321" s="184" t="s">
        <v>208</v>
      </c>
      <c r="C321" s="212">
        <v>409000</v>
      </c>
      <c r="D321" s="226">
        <v>-8568.82</v>
      </c>
      <c r="E321" s="215"/>
      <c r="F321" s="226">
        <f>108040+77049+82340+68444.01+7410+36958.17+20190</f>
        <v>400431.18</v>
      </c>
      <c r="G321" s="222">
        <v>0</v>
      </c>
      <c r="H321" s="223">
        <v>0</v>
      </c>
      <c r="I321" s="222"/>
      <c r="J321" s="222">
        <v>0</v>
      </c>
      <c r="K321" s="222">
        <v>0</v>
      </c>
      <c r="L321" s="221">
        <f t="shared" si="85"/>
        <v>0</v>
      </c>
      <c r="M321" s="221"/>
      <c r="N321" s="221"/>
      <c r="O321" s="221">
        <f t="shared" si="86"/>
        <v>0</v>
      </c>
      <c r="P321" s="184"/>
      <c r="Q321" s="184"/>
      <c r="W321" s="184" t="s">
        <v>18</v>
      </c>
      <c r="Z321" s="184" t="s">
        <v>208</v>
      </c>
    </row>
    <row r="322" spans="1:26" x14ac:dyDescent="0.25">
      <c r="A322" s="224"/>
      <c r="B322" s="184" t="s">
        <v>209</v>
      </c>
      <c r="C322" s="212">
        <v>645000</v>
      </c>
      <c r="D322" s="196"/>
      <c r="E322" s="221">
        <f>-200000-245000</f>
        <v>-445000</v>
      </c>
      <c r="F322" s="221">
        <f>105562.16+60760.54+24788.48+8888.82</f>
        <v>200000.00000000003</v>
      </c>
      <c r="G322" s="222">
        <v>0</v>
      </c>
      <c r="H322" s="223">
        <v>0</v>
      </c>
      <c r="I322" s="222"/>
      <c r="J322" s="222">
        <v>0</v>
      </c>
      <c r="K322" s="222">
        <v>0</v>
      </c>
      <c r="L322" s="221">
        <f t="shared" si="85"/>
        <v>0</v>
      </c>
      <c r="M322" s="221"/>
      <c r="N322" s="221"/>
      <c r="O322" s="221">
        <f t="shared" si="86"/>
        <v>0</v>
      </c>
      <c r="P322" s="184"/>
      <c r="Q322" s="184"/>
      <c r="W322" s="184" t="s">
        <v>19</v>
      </c>
      <c r="Z322" s="184" t="s">
        <v>209</v>
      </c>
    </row>
    <row r="323" spans="1:26" x14ac:dyDescent="0.25">
      <c r="A323" s="224"/>
      <c r="B323" s="184" t="s">
        <v>226</v>
      </c>
      <c r="C323" s="212">
        <v>536000</v>
      </c>
      <c r="D323" s="221"/>
      <c r="E323" s="215"/>
      <c r="F323" s="221">
        <f>532299.33+3700.67</f>
        <v>536000</v>
      </c>
      <c r="G323" s="222">
        <v>0</v>
      </c>
      <c r="H323" s="223">
        <v>0</v>
      </c>
      <c r="I323" s="222"/>
      <c r="J323" s="222">
        <v>0</v>
      </c>
      <c r="K323" s="222">
        <v>0</v>
      </c>
      <c r="L323" s="221">
        <f t="shared" si="85"/>
        <v>0</v>
      </c>
      <c r="M323" s="221"/>
      <c r="N323" s="221"/>
      <c r="O323" s="221">
        <f t="shared" si="86"/>
        <v>0</v>
      </c>
      <c r="P323" s="184"/>
      <c r="Q323" s="184"/>
      <c r="W323" s="184" t="s">
        <v>20</v>
      </c>
      <c r="Z323" s="184" t="s">
        <v>226</v>
      </c>
    </row>
    <row r="324" spans="1:26" x14ac:dyDescent="0.25">
      <c r="A324" s="224"/>
      <c r="B324" s="184" t="s">
        <v>211</v>
      </c>
      <c r="C324" s="212">
        <v>1589000</v>
      </c>
      <c r="D324" s="221"/>
      <c r="E324" s="215"/>
      <c r="F324" s="221">
        <f>209782.92+216303.98+5869.82+689000+2483.6+465269.68+290</f>
        <v>1589000</v>
      </c>
      <c r="G324" s="222">
        <v>0</v>
      </c>
      <c r="H324" s="223">
        <v>0</v>
      </c>
      <c r="I324" s="222"/>
      <c r="J324" s="222">
        <v>0</v>
      </c>
      <c r="K324" s="222">
        <v>0</v>
      </c>
      <c r="L324" s="221">
        <f t="shared" si="85"/>
        <v>0</v>
      </c>
      <c r="M324" s="221"/>
      <c r="N324" s="221"/>
      <c r="O324" s="221">
        <f t="shared" si="86"/>
        <v>0</v>
      </c>
      <c r="P324" s="184"/>
      <c r="Q324" s="184"/>
      <c r="W324" s="184" t="s">
        <v>21</v>
      </c>
      <c r="Z324" s="184" t="s">
        <v>211</v>
      </c>
    </row>
    <row r="325" spans="1:26" x14ac:dyDescent="0.25">
      <c r="A325" s="224"/>
      <c r="B325" s="184" t="s">
        <v>212</v>
      </c>
      <c r="C325" s="212">
        <v>418000</v>
      </c>
      <c r="D325" s="213"/>
      <c r="E325" s="215"/>
      <c r="F325" s="221">
        <f>33775+86196.55+298028.45</f>
        <v>418000</v>
      </c>
      <c r="G325" s="222">
        <v>0</v>
      </c>
      <c r="H325" s="223">
        <v>0</v>
      </c>
      <c r="I325" s="222"/>
      <c r="J325" s="222">
        <v>0</v>
      </c>
      <c r="K325" s="222">
        <v>0</v>
      </c>
      <c r="L325" s="221">
        <f t="shared" si="85"/>
        <v>0</v>
      </c>
      <c r="M325" s="221"/>
      <c r="N325" s="221"/>
      <c r="O325" s="221">
        <f t="shared" si="86"/>
        <v>0</v>
      </c>
      <c r="P325" s="184"/>
      <c r="Q325" s="184"/>
      <c r="W325" s="184" t="s">
        <v>22</v>
      </c>
      <c r="Z325" s="184" t="s">
        <v>212</v>
      </c>
    </row>
    <row r="326" spans="1:26" x14ac:dyDescent="0.25">
      <c r="A326" s="224"/>
      <c r="B326" s="224" t="s">
        <v>216</v>
      </c>
      <c r="C326" s="212">
        <v>500000</v>
      </c>
      <c r="D326" s="185"/>
      <c r="E326" s="221">
        <f>200000+245000-200000-245000-30290-23236-75000-250000-68000-5000-48474</f>
        <v>-500000</v>
      </c>
      <c r="F326" s="221"/>
      <c r="G326" s="221">
        <v>0</v>
      </c>
      <c r="H326" s="226"/>
      <c r="I326" s="221"/>
      <c r="J326" s="221"/>
      <c r="K326" s="221"/>
      <c r="L326" s="221"/>
      <c r="M326" s="221"/>
      <c r="N326" s="221"/>
      <c r="O326" s="221"/>
      <c r="P326" s="184"/>
      <c r="Q326" s="184"/>
      <c r="W326" s="224" t="s">
        <v>56</v>
      </c>
      <c r="Z326" s="224" t="s">
        <v>216</v>
      </c>
    </row>
    <row r="327" spans="1:26" x14ac:dyDescent="0.25">
      <c r="A327" s="224"/>
      <c r="B327" s="184" t="s">
        <v>300</v>
      </c>
      <c r="C327" s="212"/>
      <c r="D327" s="185"/>
      <c r="E327" s="221">
        <v>75000</v>
      </c>
      <c r="F327" s="221">
        <f>75000</f>
        <v>75000</v>
      </c>
      <c r="G327" s="221">
        <v>0</v>
      </c>
      <c r="H327" s="226">
        <v>0</v>
      </c>
      <c r="I327" s="221">
        <v>0</v>
      </c>
      <c r="J327" s="221">
        <v>0</v>
      </c>
      <c r="K327" s="221">
        <v>0</v>
      </c>
      <c r="L327" s="221">
        <v>0</v>
      </c>
      <c r="M327" s="221"/>
      <c r="N327" s="221"/>
      <c r="O327" s="221">
        <f t="shared" ref="O327:O332" si="87">H327+I327+J327+K327</f>
        <v>0</v>
      </c>
      <c r="P327" s="184"/>
      <c r="Q327" s="184"/>
      <c r="W327" s="184" t="s">
        <v>11</v>
      </c>
      <c r="Z327" s="184" t="s">
        <v>300</v>
      </c>
    </row>
    <row r="328" spans="1:26" x14ac:dyDescent="0.25">
      <c r="A328" s="224"/>
      <c r="B328" s="184" t="s">
        <v>301</v>
      </c>
      <c r="C328" s="194"/>
      <c r="D328" s="185"/>
      <c r="E328" s="255">
        <f>30290+23236</f>
        <v>53526</v>
      </c>
      <c r="F328" s="221">
        <f>53526</f>
        <v>53526</v>
      </c>
      <c r="G328" s="222">
        <v>0</v>
      </c>
      <c r="H328" s="223">
        <v>0</v>
      </c>
      <c r="I328" s="222"/>
      <c r="J328" s="222">
        <v>0</v>
      </c>
      <c r="K328" s="222">
        <v>0</v>
      </c>
      <c r="L328" s="221">
        <f>G328-H328-I328-J328-K328</f>
        <v>0</v>
      </c>
      <c r="M328" s="221"/>
      <c r="N328" s="221"/>
      <c r="O328" s="221">
        <f t="shared" si="87"/>
        <v>0</v>
      </c>
      <c r="P328" s="184"/>
      <c r="Q328" s="184"/>
      <c r="W328" s="184" t="s">
        <v>17</v>
      </c>
      <c r="Z328" s="184" t="s">
        <v>301</v>
      </c>
    </row>
    <row r="329" spans="1:26" x14ac:dyDescent="0.25">
      <c r="A329" s="224"/>
      <c r="B329" s="256" t="s">
        <v>302</v>
      </c>
      <c r="C329" s="212"/>
      <c r="D329" s="185"/>
      <c r="E329" s="221">
        <v>250000</v>
      </c>
      <c r="F329" s="221">
        <f>250000</f>
        <v>250000</v>
      </c>
      <c r="G329" s="222">
        <v>0</v>
      </c>
      <c r="H329" s="223">
        <v>0</v>
      </c>
      <c r="I329" s="222"/>
      <c r="J329" s="222">
        <v>0</v>
      </c>
      <c r="K329" s="222">
        <v>0</v>
      </c>
      <c r="L329" s="221">
        <f>G329-H329-I329-J329-K329</f>
        <v>0</v>
      </c>
      <c r="M329" s="221"/>
      <c r="N329" s="221"/>
      <c r="O329" s="221">
        <f t="shared" si="87"/>
        <v>0</v>
      </c>
      <c r="P329" s="184"/>
      <c r="Q329" s="184"/>
      <c r="W329" s="256" t="s">
        <v>18</v>
      </c>
      <c r="Z329" s="256" t="s">
        <v>302</v>
      </c>
    </row>
    <row r="330" spans="1:26" x14ac:dyDescent="0.25">
      <c r="A330" s="224"/>
      <c r="B330" s="256" t="s">
        <v>303</v>
      </c>
      <c r="C330" s="212"/>
      <c r="D330" s="185"/>
      <c r="E330" s="221">
        <f>68000+5000-30</f>
        <v>72970</v>
      </c>
      <c r="F330" s="226">
        <f>72970</f>
        <v>72970</v>
      </c>
      <c r="G330" s="222">
        <v>0</v>
      </c>
      <c r="H330" s="223">
        <v>0</v>
      </c>
      <c r="I330" s="222"/>
      <c r="J330" s="222">
        <v>0</v>
      </c>
      <c r="K330" s="222">
        <v>0</v>
      </c>
      <c r="L330" s="221">
        <f>G330-H330-I330-J330-K330</f>
        <v>0</v>
      </c>
      <c r="M330" s="221"/>
      <c r="N330" s="221"/>
      <c r="O330" s="221">
        <f t="shared" si="87"/>
        <v>0</v>
      </c>
      <c r="P330" s="184"/>
      <c r="Q330" s="184"/>
      <c r="W330" s="256" t="s">
        <v>18</v>
      </c>
      <c r="Z330" s="256" t="s">
        <v>303</v>
      </c>
    </row>
    <row r="331" spans="1:26" x14ac:dyDescent="0.25">
      <c r="A331" s="224"/>
      <c r="B331" s="257" t="s">
        <v>304</v>
      </c>
      <c r="C331" s="212"/>
      <c r="D331" s="185"/>
      <c r="E331" s="226">
        <v>200000</v>
      </c>
      <c r="F331" s="226">
        <v>200000</v>
      </c>
      <c r="G331" s="222">
        <v>0</v>
      </c>
      <c r="H331" s="223">
        <v>0</v>
      </c>
      <c r="I331" s="222"/>
      <c r="J331" s="222">
        <v>0</v>
      </c>
      <c r="K331" s="222">
        <v>0</v>
      </c>
      <c r="L331" s="221">
        <f>G331-H331-I331-J331-K331</f>
        <v>0</v>
      </c>
      <c r="M331" s="221"/>
      <c r="N331" s="221"/>
      <c r="O331" s="221">
        <f t="shared" si="87"/>
        <v>0</v>
      </c>
      <c r="P331" s="184"/>
      <c r="Q331" s="184"/>
      <c r="W331" s="257" t="s">
        <v>19</v>
      </c>
      <c r="Z331" s="257" t="s">
        <v>304</v>
      </c>
    </row>
    <row r="332" spans="1:26" x14ac:dyDescent="0.25">
      <c r="A332" s="224"/>
      <c r="B332" s="256" t="s">
        <v>305</v>
      </c>
      <c r="C332" s="212"/>
      <c r="D332" s="185"/>
      <c r="E332" s="226">
        <v>245000</v>
      </c>
      <c r="F332" s="226">
        <v>245000</v>
      </c>
      <c r="G332" s="222">
        <v>0</v>
      </c>
      <c r="H332" s="223">
        <v>0</v>
      </c>
      <c r="I332" s="222"/>
      <c r="J332" s="222">
        <v>0</v>
      </c>
      <c r="K332" s="222">
        <v>0</v>
      </c>
      <c r="L332" s="221">
        <f>G332-H332-I332-J332-K332</f>
        <v>0</v>
      </c>
      <c r="M332" s="221"/>
      <c r="N332" s="221"/>
      <c r="O332" s="221">
        <f t="shared" si="87"/>
        <v>0</v>
      </c>
      <c r="P332" s="184"/>
      <c r="Q332" s="184"/>
      <c r="W332" s="256" t="s">
        <v>19</v>
      </c>
      <c r="Z332" s="256" t="s">
        <v>305</v>
      </c>
    </row>
    <row r="333" spans="1:26" x14ac:dyDescent="0.25">
      <c r="A333" s="184"/>
      <c r="B333" s="184"/>
      <c r="C333" s="212"/>
      <c r="D333" s="213"/>
      <c r="E333" s="213"/>
      <c r="F333" s="221"/>
      <c r="G333" s="215"/>
      <c r="H333" s="216"/>
      <c r="I333" s="215"/>
      <c r="J333" s="215"/>
      <c r="K333" s="215"/>
      <c r="L333" s="213"/>
      <c r="M333" s="213"/>
      <c r="N333" s="213"/>
      <c r="O333" s="213"/>
      <c r="P333" s="184"/>
      <c r="Q333" s="184"/>
    </row>
    <row r="334" spans="1:26" ht="13.8" thickBot="1" x14ac:dyDescent="0.3">
      <c r="A334" s="184"/>
      <c r="B334" s="227" t="s">
        <v>306</v>
      </c>
      <c r="C334" s="228">
        <f t="shared" ref="C334:K334" si="88">SUM(C311:C333)</f>
        <v>27000000</v>
      </c>
      <c r="D334" s="228">
        <f>SUM(D311:D333)</f>
        <v>-85454.76999999999</v>
      </c>
      <c r="E334" s="228">
        <f t="shared" si="88"/>
        <v>-359735.58000000007</v>
      </c>
      <c r="F334" s="251">
        <f t="shared" si="88"/>
        <v>26540950.550000001</v>
      </c>
      <c r="G334" s="228">
        <f t="shared" si="88"/>
        <v>13859.099999999868</v>
      </c>
      <c r="H334" s="252">
        <f t="shared" si="88"/>
        <v>13859.1</v>
      </c>
      <c r="I334" s="228">
        <f t="shared" si="88"/>
        <v>0</v>
      </c>
      <c r="J334" s="228">
        <f t="shared" si="88"/>
        <v>0</v>
      </c>
      <c r="K334" s="228">
        <f t="shared" si="88"/>
        <v>0</v>
      </c>
      <c r="L334" s="228">
        <f>SUM(L311:L333)</f>
        <v>-1.3278622645884752E-10</v>
      </c>
      <c r="M334" s="228">
        <f>SUM(M311:M333)</f>
        <v>0</v>
      </c>
      <c r="N334" s="228">
        <f>SUM(N311:N333)</f>
        <v>0</v>
      </c>
      <c r="O334" s="228">
        <f>SUM(O311:O333)</f>
        <v>13859.1</v>
      </c>
      <c r="P334" s="195">
        <f>C334+D334+E334-F334-G334</f>
        <v>-2.1027517504990101E-9</v>
      </c>
      <c r="Q334" s="184"/>
      <c r="W334" s="224"/>
      <c r="X334" s="184"/>
      <c r="Y334" s="184"/>
    </row>
    <row r="335" spans="1:26" ht="13.8" thickTop="1" x14ac:dyDescent="0.25">
      <c r="A335" s="184"/>
      <c r="B335" s="224"/>
      <c r="C335" s="212"/>
      <c r="D335" s="212"/>
      <c r="E335" s="212"/>
      <c r="F335" s="250"/>
      <c r="G335" s="212"/>
      <c r="H335" s="225"/>
      <c r="I335" s="212"/>
      <c r="J335" s="212"/>
      <c r="K335" s="212"/>
      <c r="L335" s="212"/>
      <c r="M335" s="212"/>
      <c r="N335" s="212"/>
      <c r="O335" s="212"/>
      <c r="P335" s="184"/>
      <c r="Q335" s="184"/>
      <c r="W335" s="224"/>
      <c r="Z335" s="224"/>
    </row>
    <row r="336" spans="1:26" x14ac:dyDescent="0.25">
      <c r="A336" s="184"/>
      <c r="B336" s="258" t="s">
        <v>307</v>
      </c>
      <c r="C336" s="259">
        <f t="shared" ref="C336:M336" si="89">C67+C76+C95+C119+C143+C163+C181+C203+C225+C245+C264+C334+C308+C287+C47+C25</f>
        <v>516168103</v>
      </c>
      <c r="D336" s="259">
        <f t="shared" si="89"/>
        <v>-13836936.209999999</v>
      </c>
      <c r="E336" s="259">
        <f t="shared" si="89"/>
        <v>1651730.79</v>
      </c>
      <c r="F336" s="259">
        <f t="shared" si="89"/>
        <v>374364661.56999999</v>
      </c>
      <c r="G336" s="259">
        <f t="shared" si="89"/>
        <v>129618236.00699997</v>
      </c>
      <c r="H336" s="259">
        <f>H67+H76+H95+H119+H143+H163+H181+H203+H225+H245+H264+H334+H308+H287+H47+H25</f>
        <v>53725472.259999998</v>
      </c>
      <c r="I336" s="259">
        <f t="shared" si="89"/>
        <v>0</v>
      </c>
      <c r="J336" s="259">
        <f t="shared" si="89"/>
        <v>0</v>
      </c>
      <c r="K336" s="259">
        <f t="shared" si="89"/>
        <v>0</v>
      </c>
      <c r="L336" s="259">
        <f t="shared" si="89"/>
        <v>75892763.746999994</v>
      </c>
      <c r="M336" s="259">
        <f t="shared" si="89"/>
        <v>20182405.529999997</v>
      </c>
      <c r="N336" s="259">
        <f>N67+N76+N95+N119+N143+N163+N181+N203+N225+N245+N264+N334+N308+N287+N47+N25</f>
        <v>20232613.030000001</v>
      </c>
      <c r="O336" s="259">
        <f>O67+O76+O95+O119+O143+O163+O181+O203+O225+O245+O264+O334+O308+O287+O47+O25</f>
        <v>13310453.700000005</v>
      </c>
      <c r="P336" s="195">
        <f>C336+D336+E336-F336-G336</f>
        <v>3.0000805854797363E-3</v>
      </c>
      <c r="Q336" s="184"/>
      <c r="W336" s="224"/>
      <c r="X336" s="184"/>
      <c r="Y336" s="184"/>
    </row>
    <row r="337" spans="1:26" x14ac:dyDescent="0.25">
      <c r="A337" s="184"/>
      <c r="B337" s="256"/>
      <c r="C337" s="225"/>
      <c r="D337" s="225"/>
      <c r="E337" s="225"/>
      <c r="F337" s="225"/>
      <c r="G337" s="225"/>
      <c r="H337" s="225"/>
      <c r="I337" s="225"/>
      <c r="J337" s="225"/>
      <c r="K337" s="225"/>
      <c r="L337" s="225"/>
      <c r="M337" s="225"/>
      <c r="N337" s="225"/>
      <c r="O337" s="225"/>
      <c r="P337" s="225"/>
      <c r="Q337" s="225"/>
      <c r="W337" s="256"/>
      <c r="Z337" s="256"/>
    </row>
    <row r="338" spans="1:26" x14ac:dyDescent="0.25">
      <c r="A338" s="224" t="s">
        <v>309</v>
      </c>
      <c r="B338" s="184"/>
      <c r="C338" s="212"/>
      <c r="D338" s="225"/>
      <c r="E338" s="225"/>
      <c r="F338" s="225"/>
      <c r="G338" s="225"/>
      <c r="H338" s="225"/>
      <c r="I338" s="225"/>
      <c r="J338" s="225"/>
      <c r="K338" s="225"/>
      <c r="L338" s="225"/>
      <c r="M338" s="225"/>
      <c r="N338" s="221"/>
      <c r="O338" s="225"/>
      <c r="P338" s="225"/>
      <c r="Q338" s="194"/>
    </row>
    <row r="339" spans="1:26" x14ac:dyDescent="0.25">
      <c r="A339" s="184"/>
      <c r="B339" s="256" t="s">
        <v>310</v>
      </c>
      <c r="C339" s="225">
        <v>8000000</v>
      </c>
      <c r="D339" s="225"/>
      <c r="E339" s="225"/>
      <c r="F339" s="225"/>
      <c r="G339" s="225">
        <v>8000000</v>
      </c>
      <c r="H339" s="225">
        <v>0</v>
      </c>
      <c r="I339" s="225"/>
      <c r="J339" s="225"/>
      <c r="K339" s="225"/>
      <c r="L339" s="221">
        <f>G339-H339-I339-J339-K339</f>
        <v>8000000</v>
      </c>
      <c r="M339" s="221">
        <f>H339-N339-O339</f>
        <v>0</v>
      </c>
      <c r="N339" s="221">
        <v>0</v>
      </c>
      <c r="O339" s="225"/>
      <c r="P339" s="195">
        <f>C339+D339+E339-F339-G339</f>
        <v>0</v>
      </c>
      <c r="Q339" s="225"/>
      <c r="S339" s="184" t="s">
        <v>343</v>
      </c>
      <c r="T339" s="184" t="s">
        <v>343</v>
      </c>
      <c r="U339" s="184">
        <v>20</v>
      </c>
      <c r="V339" s="184" t="s">
        <v>621</v>
      </c>
      <c r="W339" s="256" t="s">
        <v>11</v>
      </c>
      <c r="X339" s="297">
        <f>H339</f>
        <v>0</v>
      </c>
      <c r="Y339" s="297">
        <f>L339</f>
        <v>8000000</v>
      </c>
      <c r="Z339" s="256" t="s">
        <v>310</v>
      </c>
    </row>
    <row r="340" spans="1:26" x14ac:dyDescent="0.25">
      <c r="A340" s="184"/>
      <c r="B340" s="256" t="s">
        <v>311</v>
      </c>
      <c r="C340" s="225">
        <v>10000000</v>
      </c>
      <c r="D340" s="225"/>
      <c r="E340" s="225"/>
      <c r="F340" s="225"/>
      <c r="G340" s="225">
        <v>10000000</v>
      </c>
      <c r="H340" s="225">
        <v>0</v>
      </c>
      <c r="I340" s="225"/>
      <c r="J340" s="225"/>
      <c r="K340" s="225"/>
      <c r="L340" s="221">
        <f>G340-H340-I340-J340-K340</f>
        <v>10000000</v>
      </c>
      <c r="M340" s="221">
        <f>H340-N340-O340</f>
        <v>0</v>
      </c>
      <c r="N340" s="221">
        <v>0</v>
      </c>
      <c r="O340" s="225"/>
      <c r="P340" s="195">
        <f>C340+D340+E340-F340-G340</f>
        <v>0</v>
      </c>
      <c r="Q340" s="225"/>
      <c r="S340" s="184" t="s">
        <v>343</v>
      </c>
      <c r="T340" s="184" t="s">
        <v>343</v>
      </c>
      <c r="U340" s="184">
        <v>20</v>
      </c>
      <c r="V340" s="184" t="s">
        <v>621</v>
      </c>
      <c r="W340" s="256" t="s">
        <v>21</v>
      </c>
      <c r="X340" s="297">
        <f>H340</f>
        <v>0</v>
      </c>
      <c r="Y340" s="297">
        <f>L340</f>
        <v>10000000</v>
      </c>
      <c r="Z340" s="256" t="s">
        <v>311</v>
      </c>
    </row>
    <row r="341" spans="1:26" x14ac:dyDescent="0.25">
      <c r="A341" s="184"/>
      <c r="B341" s="256"/>
      <c r="C341" s="225"/>
      <c r="D341" s="225"/>
      <c r="E341" s="225"/>
      <c r="F341" s="225"/>
      <c r="G341" s="225"/>
      <c r="H341" s="225"/>
      <c r="I341" s="225"/>
      <c r="J341" s="225"/>
      <c r="K341" s="225"/>
      <c r="L341" s="225"/>
      <c r="M341" s="225"/>
      <c r="N341" s="225"/>
      <c r="O341" s="225"/>
      <c r="P341" s="225"/>
      <c r="Q341" s="225"/>
      <c r="W341" s="256"/>
      <c r="Z341" s="256"/>
    </row>
    <row r="342" spans="1:26" ht="13.8" thickBot="1" x14ac:dyDescent="0.3">
      <c r="A342" s="184"/>
      <c r="B342" s="260" t="s">
        <v>312</v>
      </c>
      <c r="C342" s="228">
        <f t="shared" ref="C342:M342" si="90">SUM(C339:C341)</f>
        <v>18000000</v>
      </c>
      <c r="D342" s="228">
        <f t="shared" si="90"/>
        <v>0</v>
      </c>
      <c r="E342" s="228">
        <f t="shared" si="90"/>
        <v>0</v>
      </c>
      <c r="F342" s="228">
        <f t="shared" si="90"/>
        <v>0</v>
      </c>
      <c r="G342" s="228">
        <f t="shared" si="90"/>
        <v>18000000</v>
      </c>
      <c r="H342" s="228">
        <f t="shared" si="90"/>
        <v>0</v>
      </c>
      <c r="I342" s="228">
        <f t="shared" si="90"/>
        <v>0</v>
      </c>
      <c r="J342" s="228">
        <f t="shared" si="90"/>
        <v>0</v>
      </c>
      <c r="K342" s="228">
        <f t="shared" si="90"/>
        <v>0</v>
      </c>
      <c r="L342" s="228">
        <f t="shared" si="90"/>
        <v>18000000</v>
      </c>
      <c r="M342" s="228">
        <f t="shared" si="90"/>
        <v>0</v>
      </c>
      <c r="N342" s="228">
        <f>SUM(N339:N341)</f>
        <v>0</v>
      </c>
      <c r="O342" s="228">
        <f>SUM(O339:O341)</f>
        <v>0</v>
      </c>
      <c r="P342" s="195">
        <f>C342+D342+E342-F342-G342</f>
        <v>0</v>
      </c>
      <c r="Q342" s="194"/>
      <c r="W342" s="224"/>
      <c r="X342" s="184"/>
      <c r="Y342" s="184"/>
    </row>
    <row r="343" spans="1:26" ht="13.8" thickTop="1" x14ac:dyDescent="0.25">
      <c r="A343" s="184"/>
      <c r="B343" s="261"/>
      <c r="C343" s="212"/>
      <c r="D343" s="212"/>
      <c r="E343" s="212"/>
      <c r="F343" s="212"/>
      <c r="G343" s="212"/>
      <c r="H343" s="212"/>
      <c r="I343" s="212"/>
      <c r="J343" s="212"/>
      <c r="K343" s="212"/>
      <c r="L343" s="212"/>
      <c r="M343" s="212"/>
      <c r="N343" s="212"/>
      <c r="O343" s="212"/>
      <c r="P343" s="195"/>
      <c r="Q343" s="194"/>
      <c r="W343" s="261"/>
      <c r="Z343" s="261"/>
    </row>
    <row r="344" spans="1:26" x14ac:dyDescent="0.25">
      <c r="A344" s="224" t="s">
        <v>314</v>
      </c>
      <c r="B344" s="184"/>
      <c r="C344" s="212"/>
      <c r="D344" s="225"/>
      <c r="E344" s="225"/>
      <c r="F344" s="225"/>
      <c r="G344" s="225"/>
      <c r="H344" s="225"/>
      <c r="I344" s="225"/>
      <c r="J344" s="225"/>
      <c r="K344" s="225"/>
      <c r="L344" s="225"/>
      <c r="M344" s="225"/>
      <c r="N344" s="221"/>
      <c r="O344" s="225"/>
      <c r="P344" s="225"/>
      <c r="Q344" s="194"/>
    </row>
    <row r="345" spans="1:26" x14ac:dyDescent="0.25">
      <c r="A345" s="184"/>
      <c r="B345" s="256" t="s">
        <v>315</v>
      </c>
      <c r="C345" s="225">
        <v>6850000</v>
      </c>
      <c r="D345" s="225"/>
      <c r="E345" s="225"/>
      <c r="F345" s="225"/>
      <c r="G345" s="225">
        <v>6850000</v>
      </c>
      <c r="H345" s="225">
        <v>0</v>
      </c>
      <c r="I345" s="225"/>
      <c r="J345" s="225"/>
      <c r="K345" s="225">
        <f>[2]UMCP!K631</f>
        <v>0</v>
      </c>
      <c r="L345" s="221">
        <f>G345-H345-I345-J345-K345</f>
        <v>6850000</v>
      </c>
      <c r="M345" s="221">
        <f>H345-N345-O345</f>
        <v>0</v>
      </c>
      <c r="N345" s="221">
        <v>0</v>
      </c>
      <c r="O345" s="225"/>
      <c r="P345" s="195">
        <f>C345+D345+E345-F345-G345</f>
        <v>0</v>
      </c>
      <c r="Q345" s="225"/>
      <c r="S345" s="184" t="s">
        <v>343</v>
      </c>
      <c r="T345" s="184" t="s">
        <v>343</v>
      </c>
      <c r="U345" s="184">
        <v>20</v>
      </c>
      <c r="V345" s="184" t="s">
        <v>622</v>
      </c>
      <c r="W345" s="256" t="s">
        <v>11</v>
      </c>
      <c r="X345" s="297">
        <f>H345</f>
        <v>0</v>
      </c>
      <c r="Y345" s="297">
        <f>L345</f>
        <v>6850000</v>
      </c>
      <c r="Z345" s="256" t="s">
        <v>315</v>
      </c>
    </row>
    <row r="346" spans="1:26" x14ac:dyDescent="0.25">
      <c r="A346" s="184"/>
      <c r="B346" s="256" t="s">
        <v>316</v>
      </c>
      <c r="C346" s="225">
        <v>9046000</v>
      </c>
      <c r="D346" s="225"/>
      <c r="E346" s="225"/>
      <c r="F346" s="225"/>
      <c r="G346" s="225">
        <v>9046000</v>
      </c>
      <c r="H346" s="225">
        <v>0</v>
      </c>
      <c r="I346" s="225"/>
      <c r="J346" s="225"/>
      <c r="K346" s="225">
        <f>[2]TU!K494</f>
        <v>0</v>
      </c>
      <c r="L346" s="221">
        <f>G346-H346-I346-J346-K346</f>
        <v>9046000</v>
      </c>
      <c r="M346" s="221">
        <f>H346-N346-O346</f>
        <v>0</v>
      </c>
      <c r="N346" s="221">
        <v>0</v>
      </c>
      <c r="O346" s="225"/>
      <c r="P346" s="195">
        <f>C346+D346+E346-F346-G346</f>
        <v>0</v>
      </c>
      <c r="Q346" s="225"/>
      <c r="S346" s="184" t="s">
        <v>343</v>
      </c>
      <c r="T346" s="184" t="s">
        <v>343</v>
      </c>
      <c r="U346" s="184">
        <v>20</v>
      </c>
      <c r="V346" s="184" t="s">
        <v>622</v>
      </c>
      <c r="W346" s="256" t="s">
        <v>21</v>
      </c>
      <c r="X346" s="297">
        <f>H346</f>
        <v>0</v>
      </c>
      <c r="Y346" s="297">
        <f>L346</f>
        <v>9046000</v>
      </c>
      <c r="Z346" s="256" t="s">
        <v>316</v>
      </c>
    </row>
    <row r="347" spans="1:26" x14ac:dyDescent="0.25">
      <c r="A347" s="184"/>
      <c r="B347" s="256" t="s">
        <v>311</v>
      </c>
      <c r="C347" s="225">
        <v>5000000</v>
      </c>
      <c r="D347" s="225"/>
      <c r="E347" s="225"/>
      <c r="F347" s="225"/>
      <c r="G347" s="225">
        <v>5000000</v>
      </c>
      <c r="H347" s="225">
        <v>54634.1</v>
      </c>
      <c r="I347" s="225"/>
      <c r="J347" s="225"/>
      <c r="K347" s="225">
        <f>[2]TU!K445</f>
        <v>0</v>
      </c>
      <c r="L347" s="221">
        <f>G347-H347-I347-J347-K347</f>
        <v>4945365.9000000004</v>
      </c>
      <c r="M347" s="221">
        <f>H347-N347-O347</f>
        <v>54634.1</v>
      </c>
      <c r="N347" s="221">
        <v>0</v>
      </c>
      <c r="O347" s="225"/>
      <c r="P347" s="195">
        <f>C347+D347+E347-F347-G347</f>
        <v>0</v>
      </c>
      <c r="Q347" s="225"/>
      <c r="S347" s="184" t="s">
        <v>343</v>
      </c>
      <c r="T347" s="184" t="s">
        <v>343</v>
      </c>
      <c r="U347" s="184">
        <v>20</v>
      </c>
      <c r="V347" s="184" t="s">
        <v>622</v>
      </c>
      <c r="W347" s="256" t="s">
        <v>21</v>
      </c>
      <c r="X347" s="297">
        <f>H347</f>
        <v>54634.1</v>
      </c>
      <c r="Y347" s="297">
        <f>L347</f>
        <v>4945365.9000000004</v>
      </c>
      <c r="Z347" s="256" t="s">
        <v>311</v>
      </c>
    </row>
    <row r="348" spans="1:26" x14ac:dyDescent="0.25">
      <c r="A348" s="184"/>
      <c r="B348" s="256"/>
      <c r="C348" s="225"/>
      <c r="D348" s="225"/>
      <c r="E348" s="225"/>
      <c r="F348" s="225"/>
      <c r="G348" s="225"/>
      <c r="H348" s="225"/>
      <c r="I348" s="225"/>
      <c r="J348" s="225"/>
      <c r="K348" s="225"/>
      <c r="L348" s="225"/>
      <c r="M348" s="225"/>
      <c r="N348" s="225"/>
      <c r="O348" s="225"/>
      <c r="P348" s="225"/>
      <c r="Q348" s="225"/>
      <c r="W348" s="256"/>
      <c r="Z348" s="256"/>
    </row>
    <row r="349" spans="1:26" ht="13.8" thickBot="1" x14ac:dyDescent="0.3">
      <c r="A349" s="184"/>
      <c r="B349" s="260" t="s">
        <v>317</v>
      </c>
      <c r="C349" s="228">
        <f>SUM(C345:C348)</f>
        <v>20896000</v>
      </c>
      <c r="D349" s="228">
        <f t="shared" ref="D349:O349" si="91">SUM(D345:D348)</f>
        <v>0</v>
      </c>
      <c r="E349" s="228">
        <f t="shared" si="91"/>
        <v>0</v>
      </c>
      <c r="F349" s="228">
        <f t="shared" si="91"/>
        <v>0</v>
      </c>
      <c r="G349" s="228">
        <f t="shared" si="91"/>
        <v>20896000</v>
      </c>
      <c r="H349" s="228">
        <f t="shared" si="91"/>
        <v>54634.1</v>
      </c>
      <c r="I349" s="228">
        <f t="shared" si="91"/>
        <v>0</v>
      </c>
      <c r="J349" s="228">
        <f t="shared" si="91"/>
        <v>0</v>
      </c>
      <c r="K349" s="228">
        <f t="shared" si="91"/>
        <v>0</v>
      </c>
      <c r="L349" s="228">
        <f t="shared" si="91"/>
        <v>20841365.899999999</v>
      </c>
      <c r="M349" s="228">
        <f t="shared" si="91"/>
        <v>54634.1</v>
      </c>
      <c r="N349" s="228">
        <f t="shared" si="91"/>
        <v>0</v>
      </c>
      <c r="O349" s="228">
        <f t="shared" si="91"/>
        <v>0</v>
      </c>
      <c r="P349" s="195">
        <f>C349+D349+E349-F349-G349</f>
        <v>0</v>
      </c>
      <c r="Q349" s="194"/>
      <c r="W349" s="224"/>
      <c r="X349" s="184"/>
      <c r="Y349" s="184"/>
    </row>
    <row r="350" spans="1:26" ht="13.8" thickTop="1" x14ac:dyDescent="0.25">
      <c r="A350" s="184"/>
      <c r="B350" s="256"/>
      <c r="C350" s="225"/>
      <c r="D350" s="225"/>
      <c r="E350" s="225"/>
      <c r="F350" s="225"/>
      <c r="G350" s="225"/>
      <c r="H350" s="225"/>
      <c r="I350" s="225"/>
      <c r="J350" s="225"/>
      <c r="K350" s="225"/>
      <c r="L350" s="225"/>
      <c r="M350" s="225"/>
      <c r="N350" s="225"/>
      <c r="O350" s="225"/>
      <c r="P350" s="184"/>
      <c r="Q350" s="184"/>
      <c r="W350" s="256"/>
      <c r="Z350" s="256"/>
    </row>
    <row r="351" spans="1:26" x14ac:dyDescent="0.25">
      <c r="A351" s="224" t="s">
        <v>318</v>
      </c>
      <c r="B351" s="184"/>
      <c r="C351" s="212"/>
      <c r="D351" s="225"/>
      <c r="E351" s="225"/>
      <c r="F351" s="187"/>
      <c r="G351" s="225"/>
      <c r="H351" s="225"/>
      <c r="I351" s="225"/>
      <c r="J351" s="225"/>
      <c r="K351" s="225"/>
      <c r="L351" s="225"/>
      <c r="M351" s="225"/>
      <c r="N351" s="225"/>
      <c r="O351" s="225"/>
      <c r="P351" s="184"/>
      <c r="Q351" s="184"/>
    </row>
    <row r="352" spans="1:26" x14ac:dyDescent="0.25">
      <c r="A352" s="184"/>
      <c r="B352" s="256" t="s">
        <v>319</v>
      </c>
      <c r="C352" s="225">
        <v>1045430</v>
      </c>
      <c r="D352" s="225"/>
      <c r="E352" s="225"/>
      <c r="F352" s="225">
        <f>677619.08</f>
        <v>677619.08</v>
      </c>
      <c r="G352" s="225">
        <v>367810.92000000004</v>
      </c>
      <c r="H352" s="225">
        <v>367810.92</v>
      </c>
      <c r="I352" s="225"/>
      <c r="J352" s="225">
        <f>[5]UMES!J214</f>
        <v>0</v>
      </c>
      <c r="K352" s="225">
        <f>[5]UMES!K214</f>
        <v>0</v>
      </c>
      <c r="L352" s="221">
        <f>G352-H352-I352-J352-K352</f>
        <v>5.8207660913467407E-11</v>
      </c>
      <c r="M352" s="221">
        <f>H352-N352-O352</f>
        <v>104246.32</v>
      </c>
      <c r="N352" s="221">
        <v>263564.59999999998</v>
      </c>
      <c r="O352" s="221">
        <v>0</v>
      </c>
      <c r="P352" s="195">
        <f>C352+D352+E352-F352-G352</f>
        <v>0</v>
      </c>
      <c r="Q352" s="184"/>
      <c r="S352" s="184" t="s">
        <v>343</v>
      </c>
      <c r="T352" s="184" t="s">
        <v>343</v>
      </c>
      <c r="U352" s="184">
        <v>20</v>
      </c>
      <c r="V352" s="184" t="s">
        <v>623</v>
      </c>
      <c r="W352" s="256" t="s">
        <v>14</v>
      </c>
      <c r="X352" s="297">
        <f>H352</f>
        <v>367810.92</v>
      </c>
      <c r="Y352" s="297">
        <f>L352</f>
        <v>5.8207660913467407E-11</v>
      </c>
      <c r="Z352" s="256" t="s">
        <v>319</v>
      </c>
    </row>
    <row r="353" spans="1:26" x14ac:dyDescent="0.25">
      <c r="A353" s="184"/>
      <c r="B353" s="256" t="s">
        <v>320</v>
      </c>
      <c r="C353" s="225">
        <v>8000000</v>
      </c>
      <c r="D353" s="225"/>
      <c r="E353" s="225"/>
      <c r="F353" s="225">
        <f>4156585.88+673518.08+260562</f>
        <v>5090665.96</v>
      </c>
      <c r="G353" s="225">
        <v>2909334.04</v>
      </c>
      <c r="H353" s="225">
        <v>2237481.87</v>
      </c>
      <c r="I353" s="225"/>
      <c r="J353" s="225">
        <f>[5]TU!J638</f>
        <v>0</v>
      </c>
      <c r="K353" s="225">
        <f>[5]TU!K638</f>
        <v>0</v>
      </c>
      <c r="L353" s="221">
        <f>G353-H353-I353-J353-K353</f>
        <v>671852.16999999993</v>
      </c>
      <c r="M353" s="221">
        <f>H353-N353-O353</f>
        <v>1980078.85</v>
      </c>
      <c r="N353" s="221">
        <v>257403.02</v>
      </c>
      <c r="O353" s="221">
        <v>0</v>
      </c>
      <c r="P353" s="195">
        <f>C353+D353+E353-F353-G353</f>
        <v>0</v>
      </c>
      <c r="Q353" s="184"/>
      <c r="S353" s="184" t="s">
        <v>343</v>
      </c>
      <c r="T353" s="184" t="s">
        <v>343</v>
      </c>
      <c r="U353" s="184">
        <v>20</v>
      </c>
      <c r="V353" s="184" t="s">
        <v>623</v>
      </c>
      <c r="W353" s="256" t="s">
        <v>21</v>
      </c>
      <c r="X353" s="297">
        <f>H353</f>
        <v>2237481.87</v>
      </c>
      <c r="Y353" s="297">
        <f>L353</f>
        <v>671852.16999999993</v>
      </c>
      <c r="Z353" s="256" t="s">
        <v>320</v>
      </c>
    </row>
    <row r="354" spans="1:26" x14ac:dyDescent="0.25">
      <c r="A354" s="184"/>
      <c r="B354" s="256"/>
      <c r="C354" s="225"/>
      <c r="D354" s="225"/>
      <c r="E354" s="225"/>
      <c r="F354" s="225"/>
      <c r="G354" s="225"/>
      <c r="H354" s="225"/>
      <c r="I354" s="225"/>
      <c r="J354" s="225"/>
      <c r="K354" s="225"/>
      <c r="L354" s="225"/>
      <c r="M354" s="225"/>
      <c r="N354" s="225"/>
      <c r="O354" s="225"/>
      <c r="P354" s="184"/>
      <c r="Q354" s="184"/>
      <c r="W354" s="256"/>
      <c r="Z354" s="256"/>
    </row>
    <row r="355" spans="1:26" ht="13.8" thickBot="1" x14ac:dyDescent="0.3">
      <c r="A355" s="184"/>
      <c r="B355" s="260" t="s">
        <v>321</v>
      </c>
      <c r="C355" s="228">
        <f>SUM(C352:C354)</f>
        <v>9045430</v>
      </c>
      <c r="D355" s="228">
        <f t="shared" ref="D355:O355" si="92">SUM(D352:D354)</f>
        <v>0</v>
      </c>
      <c r="E355" s="228">
        <f t="shared" si="92"/>
        <v>0</v>
      </c>
      <c r="F355" s="228">
        <f t="shared" si="92"/>
        <v>5768285.04</v>
      </c>
      <c r="G355" s="228">
        <f t="shared" si="92"/>
        <v>3277144.96</v>
      </c>
      <c r="H355" s="228">
        <f>SUM(H352:H354)</f>
        <v>2605292.79</v>
      </c>
      <c r="I355" s="228">
        <f t="shared" si="92"/>
        <v>0</v>
      </c>
      <c r="J355" s="228">
        <f t="shared" si="92"/>
        <v>0</v>
      </c>
      <c r="K355" s="228">
        <f t="shared" si="92"/>
        <v>0</v>
      </c>
      <c r="L355" s="228">
        <f t="shared" si="92"/>
        <v>671852.16999999993</v>
      </c>
      <c r="M355" s="228">
        <f t="shared" si="92"/>
        <v>2084325.1700000002</v>
      </c>
      <c r="N355" s="228">
        <f t="shared" si="92"/>
        <v>520967.62</v>
      </c>
      <c r="O355" s="228">
        <f t="shared" si="92"/>
        <v>0</v>
      </c>
      <c r="P355" s="195">
        <f>C355+D355+E355-F355-G355</f>
        <v>0</v>
      </c>
      <c r="Q355" s="184"/>
      <c r="W355" s="224"/>
      <c r="X355" s="184"/>
      <c r="Y355" s="184"/>
    </row>
    <row r="356" spans="1:26" ht="13.8" thickTop="1" x14ac:dyDescent="0.25">
      <c r="A356" s="184"/>
      <c r="B356" s="256"/>
      <c r="C356" s="225"/>
      <c r="D356" s="225"/>
      <c r="E356" s="225"/>
      <c r="F356" s="225"/>
      <c r="G356" s="225"/>
      <c r="H356" s="225"/>
      <c r="I356" s="225"/>
      <c r="J356" s="225"/>
      <c r="K356" s="225"/>
      <c r="L356" s="225"/>
      <c r="M356" s="225"/>
      <c r="N356" s="225"/>
      <c r="O356" s="225"/>
      <c r="P356" s="184"/>
      <c r="Q356" s="184"/>
      <c r="W356" s="256"/>
      <c r="Z356" s="256"/>
    </row>
    <row r="357" spans="1:26" x14ac:dyDescent="0.25">
      <c r="A357" s="224" t="s">
        <v>322</v>
      </c>
      <c r="B357" s="184"/>
      <c r="C357" s="212"/>
      <c r="D357" s="225"/>
      <c r="E357" s="225"/>
      <c r="F357" s="225"/>
      <c r="G357" s="225"/>
      <c r="H357" s="225"/>
      <c r="I357" s="225"/>
      <c r="J357" s="225"/>
      <c r="K357" s="225"/>
      <c r="L357" s="225"/>
      <c r="M357" s="225"/>
      <c r="N357" s="225"/>
      <c r="O357" s="225"/>
      <c r="P357" s="184"/>
      <c r="Q357" s="184"/>
    </row>
    <row r="358" spans="1:26" x14ac:dyDescent="0.25">
      <c r="A358" s="224"/>
      <c r="B358" s="184" t="s">
        <v>323</v>
      </c>
      <c r="C358" s="212">
        <v>2700000</v>
      </c>
      <c r="D358" s="225"/>
      <c r="E358" s="225"/>
      <c r="F358" s="225"/>
      <c r="G358" s="225">
        <v>2700000</v>
      </c>
      <c r="H358" s="225">
        <v>0</v>
      </c>
      <c r="I358" s="225"/>
      <c r="J358" s="225">
        <f>[5]UMB!J431</f>
        <v>0</v>
      </c>
      <c r="K358" s="225">
        <f>[5]UMB!K431</f>
        <v>0</v>
      </c>
      <c r="L358" s="221">
        <f>G358-H358-I358-J358-K358</f>
        <v>2700000</v>
      </c>
      <c r="M358" s="221">
        <f>H358-N358-O358</f>
        <v>0</v>
      </c>
      <c r="N358" s="221">
        <v>0</v>
      </c>
      <c r="O358" s="221">
        <v>0</v>
      </c>
      <c r="P358" s="195">
        <f>C358+D358+E358-F358-G358</f>
        <v>0</v>
      </c>
      <c r="Q358" s="184"/>
      <c r="S358" s="184" t="s">
        <v>343</v>
      </c>
      <c r="T358" s="184" t="s">
        <v>343</v>
      </c>
      <c r="U358" s="184">
        <v>20</v>
      </c>
      <c r="V358" s="184" t="s">
        <v>624</v>
      </c>
      <c r="W358" s="184" t="s">
        <v>12</v>
      </c>
      <c r="X358" s="297">
        <f>H358</f>
        <v>0</v>
      </c>
      <c r="Y358" s="297">
        <f>L358</f>
        <v>2700000</v>
      </c>
      <c r="Z358" s="184" t="s">
        <v>323</v>
      </c>
    </row>
    <row r="359" spans="1:26" x14ac:dyDescent="0.25">
      <c r="A359" s="224"/>
      <c r="B359" s="184" t="s">
        <v>324</v>
      </c>
      <c r="C359" s="212">
        <v>1000000</v>
      </c>
      <c r="D359" s="225"/>
      <c r="E359" s="225"/>
      <c r="F359" s="225"/>
      <c r="G359" s="225">
        <v>1000000</v>
      </c>
      <c r="H359" s="225">
        <v>0</v>
      </c>
      <c r="I359" s="225"/>
      <c r="J359" s="225">
        <f>[5]FSU!J243</f>
        <v>0</v>
      </c>
      <c r="K359" s="225">
        <f>[5]FSU!K243</f>
        <v>0</v>
      </c>
      <c r="L359" s="221">
        <f>G359-H359-I359-J359-K359</f>
        <v>1000000</v>
      </c>
      <c r="M359" s="221">
        <f>H359-N359-O359</f>
        <v>0</v>
      </c>
      <c r="N359" s="221">
        <v>0</v>
      </c>
      <c r="O359" s="221">
        <v>0</v>
      </c>
      <c r="P359" s="195">
        <f>C359+D359+E359-F359-G359</f>
        <v>0</v>
      </c>
      <c r="Q359" s="184"/>
      <c r="S359" s="184" t="s">
        <v>343</v>
      </c>
      <c r="T359" s="184" t="s">
        <v>343</v>
      </c>
      <c r="U359" s="184">
        <v>20</v>
      </c>
      <c r="V359" s="184" t="s">
        <v>624</v>
      </c>
      <c r="W359" s="184" t="s">
        <v>19</v>
      </c>
      <c r="X359" s="297">
        <f>H359</f>
        <v>0</v>
      </c>
      <c r="Y359" s="297">
        <f>L359</f>
        <v>1000000</v>
      </c>
      <c r="Z359" s="184" t="s">
        <v>324</v>
      </c>
    </row>
    <row r="360" spans="1:26" x14ac:dyDescent="0.25">
      <c r="A360" s="224"/>
      <c r="B360" s="184" t="s">
        <v>325</v>
      </c>
      <c r="C360" s="212">
        <v>20000000</v>
      </c>
      <c r="D360" s="225"/>
      <c r="E360" s="225"/>
      <c r="F360" s="225">
        <f>2665098.06+996336.78+299</f>
        <v>3661733.84</v>
      </c>
      <c r="G360" s="225">
        <v>16338266.16</v>
      </c>
      <c r="H360" s="225">
        <v>8299523.9099999992</v>
      </c>
      <c r="I360" s="225"/>
      <c r="J360" s="225">
        <f>[5]TU!J409</f>
        <v>0</v>
      </c>
      <c r="K360" s="225">
        <f>[5]TU!K409</f>
        <v>0</v>
      </c>
      <c r="L360" s="221">
        <f>G360-H360-I360-J360-K360</f>
        <v>8038742.2500000009</v>
      </c>
      <c r="M360" s="221">
        <f>H360-N360-O360</f>
        <v>7313316.3099999996</v>
      </c>
      <c r="N360" s="221">
        <v>986207.6</v>
      </c>
      <c r="O360" s="221">
        <v>0</v>
      </c>
      <c r="P360" s="195">
        <f>C360+D360+E360-F360-G360</f>
        <v>0</v>
      </c>
      <c r="Q360" s="184"/>
      <c r="S360" s="184" t="s">
        <v>343</v>
      </c>
      <c r="T360" s="184" t="s">
        <v>343</v>
      </c>
      <c r="U360" s="184">
        <v>20</v>
      </c>
      <c r="V360" s="184" t="s">
        <v>624</v>
      </c>
      <c r="W360" s="184" t="s">
        <v>21</v>
      </c>
      <c r="X360" s="297">
        <f>H360</f>
        <v>8299523.9099999992</v>
      </c>
      <c r="Y360" s="297">
        <f>L360</f>
        <v>8038742.2500000009</v>
      </c>
      <c r="Z360" s="184" t="s">
        <v>325</v>
      </c>
    </row>
    <row r="361" spans="1:26" x14ac:dyDescent="0.25">
      <c r="A361" s="184"/>
      <c r="B361" s="256"/>
      <c r="C361" s="225"/>
      <c r="D361" s="225"/>
      <c r="E361" s="225"/>
      <c r="F361" s="225"/>
      <c r="G361" s="225"/>
      <c r="H361" s="225"/>
      <c r="I361" s="225"/>
      <c r="J361" s="225"/>
      <c r="K361" s="225"/>
      <c r="L361" s="225"/>
      <c r="M361" s="225"/>
      <c r="N361" s="225"/>
      <c r="O361" s="225"/>
      <c r="P361" s="184"/>
      <c r="Q361" s="184"/>
      <c r="W361" s="256"/>
      <c r="Z361" s="256"/>
    </row>
    <row r="362" spans="1:26" ht="13.8" thickBot="1" x14ac:dyDescent="0.3">
      <c r="A362" s="184"/>
      <c r="B362" s="260" t="s">
        <v>326</v>
      </c>
      <c r="C362" s="228">
        <f>SUM(C358:C361)</f>
        <v>23700000</v>
      </c>
      <c r="D362" s="228">
        <f t="shared" ref="D362:O362" si="93">SUM(D358:D361)</f>
        <v>0</v>
      </c>
      <c r="E362" s="228">
        <f t="shared" si="93"/>
        <v>0</v>
      </c>
      <c r="F362" s="228">
        <f>SUM(F358:F361)</f>
        <v>3661733.84</v>
      </c>
      <c r="G362" s="228">
        <f t="shared" si="93"/>
        <v>20038266.16</v>
      </c>
      <c r="H362" s="228">
        <f t="shared" si="93"/>
        <v>8299523.9099999992</v>
      </c>
      <c r="I362" s="228">
        <f t="shared" si="93"/>
        <v>0</v>
      </c>
      <c r="J362" s="228">
        <f t="shared" si="93"/>
        <v>0</v>
      </c>
      <c r="K362" s="228">
        <f t="shared" si="93"/>
        <v>0</v>
      </c>
      <c r="L362" s="228">
        <f t="shared" si="93"/>
        <v>11738742.25</v>
      </c>
      <c r="M362" s="228">
        <f t="shared" si="93"/>
        <v>7313316.3099999996</v>
      </c>
      <c r="N362" s="228">
        <f t="shared" si="93"/>
        <v>986207.6</v>
      </c>
      <c r="O362" s="228">
        <f t="shared" si="93"/>
        <v>0</v>
      </c>
      <c r="P362" s="195">
        <f>C362+D362+E362-F362-G362</f>
        <v>0</v>
      </c>
      <c r="Q362" s="184"/>
      <c r="W362" s="224"/>
      <c r="X362" s="184"/>
      <c r="Y362" s="184"/>
    </row>
    <row r="363" spans="1:26" ht="13.8" thickTop="1" x14ac:dyDescent="0.25">
      <c r="A363" s="224"/>
      <c r="B363" s="184"/>
      <c r="C363" s="212"/>
      <c r="D363" s="225"/>
      <c r="E363" s="225"/>
      <c r="F363" s="225"/>
      <c r="G363" s="225"/>
      <c r="H363" s="225"/>
      <c r="I363" s="225"/>
      <c r="J363" s="225"/>
      <c r="K363" s="225"/>
      <c r="L363" s="225"/>
      <c r="M363" s="225"/>
      <c r="N363" s="225"/>
      <c r="O363" s="225"/>
      <c r="P363" s="184"/>
      <c r="Q363" s="184"/>
    </row>
    <row r="364" spans="1:26" x14ac:dyDescent="0.25">
      <c r="A364" s="224" t="s">
        <v>327</v>
      </c>
      <c r="B364" s="184"/>
      <c r="C364" s="212"/>
      <c r="D364" s="225"/>
      <c r="E364" s="225"/>
      <c r="F364" s="225"/>
      <c r="G364" s="225"/>
      <c r="H364" s="225"/>
      <c r="I364" s="225"/>
      <c r="J364" s="225"/>
      <c r="K364" s="225"/>
      <c r="L364" s="225"/>
      <c r="M364" s="225"/>
      <c r="N364" s="225"/>
      <c r="O364" s="225"/>
      <c r="P364" s="184"/>
      <c r="Q364" s="184"/>
    </row>
    <row r="365" spans="1:26" x14ac:dyDescent="0.25">
      <c r="A365" s="184"/>
      <c r="B365" s="256" t="s">
        <v>328</v>
      </c>
      <c r="C365" s="225">
        <v>25000000</v>
      </c>
      <c r="D365" s="225"/>
      <c r="E365" s="225"/>
      <c r="F365" s="225">
        <v>0</v>
      </c>
      <c r="G365" s="225">
        <v>25000000</v>
      </c>
      <c r="H365" s="225">
        <v>25000000.000000011</v>
      </c>
      <c r="I365" s="225"/>
      <c r="J365" s="225">
        <f>[5]UMCP!J406</f>
        <v>0</v>
      </c>
      <c r="K365" s="225">
        <f>[5]UMCP!K406</f>
        <v>0</v>
      </c>
      <c r="L365" s="221">
        <f>G365-H365-I365-J365-K365</f>
        <v>-1.1175870895385742E-8</v>
      </c>
      <c r="M365" s="221">
        <f>H365-N365-O365</f>
        <v>395672.48000000417</v>
      </c>
      <c r="N365" s="221">
        <v>2878845.1800000072</v>
      </c>
      <c r="O365" s="221">
        <v>21725482.34</v>
      </c>
      <c r="P365" s="195">
        <f>C365+D365+E365-F365-G365</f>
        <v>0</v>
      </c>
      <c r="Q365" s="184"/>
      <c r="S365" s="184" t="s">
        <v>343</v>
      </c>
      <c r="T365" s="184" t="s">
        <v>343</v>
      </c>
      <c r="U365" s="184">
        <v>30</v>
      </c>
      <c r="V365" s="184" t="s">
        <v>625</v>
      </c>
      <c r="W365" s="256" t="s">
        <v>11</v>
      </c>
      <c r="X365" s="297">
        <f>H365</f>
        <v>25000000.000000011</v>
      </c>
      <c r="Y365" s="297">
        <f>L365</f>
        <v>-1.1175870895385742E-8</v>
      </c>
      <c r="Z365" s="256" t="s">
        <v>328</v>
      </c>
    </row>
    <row r="366" spans="1:26" x14ac:dyDescent="0.25">
      <c r="A366" s="184"/>
      <c r="B366" s="256" t="s">
        <v>329</v>
      </c>
      <c r="C366" s="225">
        <v>15000000</v>
      </c>
      <c r="D366" s="225"/>
      <c r="E366" s="225"/>
      <c r="F366" s="225">
        <v>0</v>
      </c>
      <c r="G366" s="225">
        <v>15000000</v>
      </c>
      <c r="H366" s="225">
        <v>15000000</v>
      </c>
      <c r="I366" s="225"/>
      <c r="J366" s="225">
        <f>[5]UMCP!J441</f>
        <v>0</v>
      </c>
      <c r="K366" s="225">
        <f>[5]UMCP!K441</f>
        <v>0</v>
      </c>
      <c r="L366" s="221">
        <f>G366-H366-I366-J366-K366</f>
        <v>0</v>
      </c>
      <c r="M366" s="221">
        <f>H366-N366-O366</f>
        <v>0</v>
      </c>
      <c r="N366" s="221">
        <v>0</v>
      </c>
      <c r="O366" s="221">
        <v>15000000</v>
      </c>
      <c r="P366" s="195">
        <f>C366+D366+E366-F366-G366</f>
        <v>0</v>
      </c>
      <c r="Q366" s="184"/>
      <c r="S366" s="184" t="s">
        <v>343</v>
      </c>
      <c r="T366" s="184" t="s">
        <v>343</v>
      </c>
      <c r="U366" s="184">
        <v>30</v>
      </c>
      <c r="V366" s="184" t="s">
        <v>625</v>
      </c>
      <c r="W366" s="256" t="s">
        <v>11</v>
      </c>
      <c r="X366" s="297">
        <f>H366</f>
        <v>15000000</v>
      </c>
      <c r="Y366" s="297">
        <f>L366</f>
        <v>0</v>
      </c>
      <c r="Z366" s="256" t="s">
        <v>329</v>
      </c>
    </row>
    <row r="367" spans="1:26" x14ac:dyDescent="0.25">
      <c r="A367" s="184"/>
      <c r="B367" s="256"/>
      <c r="C367" s="225"/>
      <c r="D367" s="225"/>
      <c r="E367" s="225"/>
      <c r="F367" s="225"/>
      <c r="G367" s="225"/>
      <c r="H367" s="225"/>
      <c r="I367" s="225"/>
      <c r="J367" s="225"/>
      <c r="K367" s="225"/>
      <c r="L367" s="225"/>
      <c r="M367" s="225"/>
      <c r="N367" s="225"/>
      <c r="O367" s="225"/>
      <c r="P367" s="184"/>
      <c r="Q367" s="184"/>
      <c r="W367" s="256"/>
      <c r="Z367" s="256"/>
    </row>
    <row r="368" spans="1:26" ht="13.8" thickBot="1" x14ac:dyDescent="0.3">
      <c r="A368" s="184"/>
      <c r="B368" s="260" t="s">
        <v>330</v>
      </c>
      <c r="C368" s="228">
        <f>SUM(C365:C367)</f>
        <v>40000000</v>
      </c>
      <c r="D368" s="228">
        <f t="shared" ref="D368:O368" si="94">SUM(D365:D367)</f>
        <v>0</v>
      </c>
      <c r="E368" s="228">
        <f t="shared" si="94"/>
        <v>0</v>
      </c>
      <c r="F368" s="228">
        <f t="shared" si="94"/>
        <v>0</v>
      </c>
      <c r="G368" s="228">
        <f t="shared" si="94"/>
        <v>40000000</v>
      </c>
      <c r="H368" s="228">
        <f>SUM(H365:H367)</f>
        <v>40000000.000000015</v>
      </c>
      <c r="I368" s="228">
        <f t="shared" si="94"/>
        <v>0</v>
      </c>
      <c r="J368" s="228">
        <f t="shared" si="94"/>
        <v>0</v>
      </c>
      <c r="K368" s="228">
        <f t="shared" si="94"/>
        <v>0</v>
      </c>
      <c r="L368" s="228">
        <f t="shared" si="94"/>
        <v>-1.1175870895385742E-8</v>
      </c>
      <c r="M368" s="228">
        <f t="shared" si="94"/>
        <v>395672.48000000417</v>
      </c>
      <c r="N368" s="228">
        <f t="shared" si="94"/>
        <v>2878845.1800000072</v>
      </c>
      <c r="O368" s="228">
        <f t="shared" si="94"/>
        <v>36725482.340000004</v>
      </c>
      <c r="P368" s="195">
        <f>C368+D368+E368-F368-G368</f>
        <v>0</v>
      </c>
      <c r="Q368" s="184"/>
      <c r="W368" s="224"/>
      <c r="X368" s="184"/>
      <c r="Y368" s="184"/>
    </row>
    <row r="369" spans="1:26" ht="13.8" thickTop="1" x14ac:dyDescent="0.25">
      <c r="A369" s="184"/>
      <c r="B369" s="256"/>
      <c r="C369" s="225"/>
      <c r="D369" s="225"/>
      <c r="E369" s="225"/>
      <c r="F369" s="225"/>
      <c r="G369" s="225"/>
      <c r="H369" s="225"/>
      <c r="I369" s="225"/>
      <c r="J369" s="225"/>
      <c r="K369" s="225"/>
      <c r="L369" s="225"/>
      <c r="M369" s="225"/>
      <c r="N369" s="225"/>
      <c r="O369" s="225"/>
      <c r="P369" s="184"/>
      <c r="Q369" s="184"/>
      <c r="W369" s="256"/>
      <c r="Z369" s="256"/>
    </row>
    <row r="370" spans="1:26" x14ac:dyDescent="0.25">
      <c r="A370" s="224" t="s">
        <v>331</v>
      </c>
      <c r="B370" s="184"/>
      <c r="C370" s="212"/>
      <c r="D370" s="225"/>
      <c r="E370" s="225"/>
      <c r="F370" s="262"/>
      <c r="G370" s="225"/>
      <c r="H370" s="225"/>
      <c r="I370" s="225"/>
      <c r="J370" s="225"/>
      <c r="K370" s="225"/>
      <c r="L370" s="225"/>
      <c r="M370" s="225"/>
      <c r="N370" s="225"/>
      <c r="O370" s="225"/>
      <c r="P370" s="184"/>
      <c r="Q370" s="184"/>
    </row>
    <row r="371" spans="1:26" x14ac:dyDescent="0.25">
      <c r="A371" s="184"/>
      <c r="B371" s="256" t="s">
        <v>332</v>
      </c>
      <c r="C371" s="225">
        <v>4000000</v>
      </c>
      <c r="D371" s="225"/>
      <c r="E371" s="225"/>
      <c r="F371" s="225">
        <v>0</v>
      </c>
      <c r="G371" s="225">
        <v>4000000</v>
      </c>
      <c r="H371" s="225">
        <v>4000000</v>
      </c>
      <c r="I371" s="225"/>
      <c r="J371" s="225"/>
      <c r="K371" s="225">
        <f>[5]UMCP!K449</f>
        <v>0</v>
      </c>
      <c r="L371" s="221">
        <f>G371-H371-I371-J371-K371</f>
        <v>0</v>
      </c>
      <c r="M371" s="221">
        <f>H371-N371-O371</f>
        <v>0</v>
      </c>
      <c r="N371" s="221">
        <v>0</v>
      </c>
      <c r="O371" s="221">
        <v>4000000</v>
      </c>
      <c r="P371" s="195">
        <f>C371+D371+E371-F371-G371</f>
        <v>0</v>
      </c>
      <c r="Q371" s="184"/>
      <c r="S371" s="184" t="s">
        <v>343</v>
      </c>
      <c r="T371" s="184" t="s">
        <v>343</v>
      </c>
      <c r="U371" s="184">
        <v>30</v>
      </c>
      <c r="V371" s="184" t="s">
        <v>626</v>
      </c>
      <c r="W371" s="256" t="s">
        <v>11</v>
      </c>
      <c r="X371" s="297">
        <f>H371</f>
        <v>4000000</v>
      </c>
      <c r="Y371" s="297">
        <f>L371</f>
        <v>0</v>
      </c>
      <c r="Z371" s="256" t="s">
        <v>332</v>
      </c>
    </row>
    <row r="372" spans="1:26" x14ac:dyDescent="0.25">
      <c r="A372" s="184"/>
      <c r="B372" s="256" t="s">
        <v>333</v>
      </c>
      <c r="C372" s="225">
        <f>1000000+8780000</f>
        <v>9780000</v>
      </c>
      <c r="D372" s="225"/>
      <c r="E372" s="225"/>
      <c r="F372" s="225">
        <f>9312023.08</f>
        <v>9312023.0800000001</v>
      </c>
      <c r="G372" s="225">
        <v>467976.91999999993</v>
      </c>
      <c r="H372" s="225">
        <v>467976.92</v>
      </c>
      <c r="I372" s="225"/>
      <c r="J372" s="225"/>
      <c r="K372" s="225">
        <f>[5]UMCP!K417</f>
        <v>0</v>
      </c>
      <c r="L372" s="221">
        <f>G372-H372-I372-J372-K372</f>
        <v>-5.8207660913467407E-11</v>
      </c>
      <c r="M372" s="221">
        <f>H372-N372-O372</f>
        <v>0</v>
      </c>
      <c r="N372" s="221">
        <v>0</v>
      </c>
      <c r="O372" s="221">
        <v>467976.92</v>
      </c>
      <c r="P372" s="195">
        <f>C372+D372+E372-F372-G372</f>
        <v>0</v>
      </c>
      <c r="Q372" s="184"/>
      <c r="S372" s="184" t="s">
        <v>343</v>
      </c>
      <c r="T372" s="184" t="s">
        <v>343</v>
      </c>
      <c r="U372" s="184">
        <v>30</v>
      </c>
      <c r="V372" s="184" t="s">
        <v>626</v>
      </c>
      <c r="W372" s="256" t="s">
        <v>11</v>
      </c>
      <c r="X372" s="297">
        <f>H372</f>
        <v>467976.92</v>
      </c>
      <c r="Y372" s="297">
        <f>L372</f>
        <v>-5.8207660913467407E-11</v>
      </c>
      <c r="Z372" s="256" t="s">
        <v>333</v>
      </c>
    </row>
    <row r="373" spans="1:26" x14ac:dyDescent="0.25">
      <c r="A373" s="184"/>
      <c r="B373" s="256" t="s">
        <v>334</v>
      </c>
      <c r="C373" s="225">
        <v>13100000</v>
      </c>
      <c r="D373" s="225"/>
      <c r="E373" s="225"/>
      <c r="F373" s="225">
        <f>5842776.86+7257223.14</f>
        <v>13100000</v>
      </c>
      <c r="G373" s="225">
        <v>0</v>
      </c>
      <c r="H373" s="225">
        <v>0</v>
      </c>
      <c r="I373" s="225"/>
      <c r="J373" s="225"/>
      <c r="K373" s="225"/>
      <c r="L373" s="221">
        <f>G373-H373-I373-J373-K373</f>
        <v>0</v>
      </c>
      <c r="M373" s="221">
        <f>H373-N373-O373</f>
        <v>0</v>
      </c>
      <c r="N373" s="221">
        <v>0</v>
      </c>
      <c r="O373" s="221">
        <v>0</v>
      </c>
      <c r="P373" s="195">
        <f>C373+D373+E373-F373-G373</f>
        <v>0</v>
      </c>
      <c r="Q373" s="184"/>
      <c r="S373" s="184" t="s">
        <v>343</v>
      </c>
      <c r="T373" s="184" t="s">
        <v>343</v>
      </c>
      <c r="U373" s="184">
        <v>20</v>
      </c>
      <c r="V373" s="184" t="s">
        <v>626</v>
      </c>
      <c r="W373" s="256" t="s">
        <v>15</v>
      </c>
      <c r="X373" s="297">
        <f>H373</f>
        <v>0</v>
      </c>
      <c r="Y373" s="297">
        <f>L373</f>
        <v>0</v>
      </c>
      <c r="Z373" s="256" t="s">
        <v>334</v>
      </c>
    </row>
    <row r="374" spans="1:26" x14ac:dyDescent="0.25">
      <c r="A374" s="184"/>
      <c r="B374" s="256" t="s">
        <v>335</v>
      </c>
      <c r="C374" s="225">
        <v>25100000</v>
      </c>
      <c r="D374" s="225"/>
      <c r="E374" s="225"/>
      <c r="F374" s="225">
        <f>1995.27+25052096.18</f>
        <v>25054091.449999999</v>
      </c>
      <c r="G374" s="225">
        <v>45908.550000000745</v>
      </c>
      <c r="H374" s="225">
        <v>5000</v>
      </c>
      <c r="I374" s="225"/>
      <c r="J374" s="225"/>
      <c r="K374" s="225"/>
      <c r="L374" s="221">
        <f>G374-H374-I374-J374-K374</f>
        <v>40908.550000000745</v>
      </c>
      <c r="M374" s="221">
        <f>H374-N374-O374</f>
        <v>5000</v>
      </c>
      <c r="N374" s="221">
        <v>0</v>
      </c>
      <c r="O374" s="221">
        <v>0</v>
      </c>
      <c r="P374" s="195">
        <f>C374+D374+E374-F374-G374</f>
        <v>0</v>
      </c>
      <c r="Q374" s="184"/>
      <c r="S374" s="184" t="s">
        <v>343</v>
      </c>
      <c r="T374" s="184" t="s">
        <v>343</v>
      </c>
      <c r="U374" s="184">
        <v>20</v>
      </c>
      <c r="V374" s="184" t="s">
        <v>626</v>
      </c>
      <c r="W374" s="256" t="s">
        <v>21</v>
      </c>
      <c r="X374" s="297">
        <f>H374</f>
        <v>5000</v>
      </c>
      <c r="Y374" s="297">
        <f>L374</f>
        <v>40908.550000000745</v>
      </c>
      <c r="Z374" s="256" t="s">
        <v>335</v>
      </c>
    </row>
    <row r="375" spans="1:26" x14ac:dyDescent="0.25">
      <c r="A375" s="184"/>
      <c r="B375" s="256" t="s">
        <v>316</v>
      </c>
      <c r="C375" s="225">
        <v>20513000</v>
      </c>
      <c r="D375" s="225"/>
      <c r="E375" s="225"/>
      <c r="F375" s="225">
        <v>20513000</v>
      </c>
      <c r="G375" s="225">
        <v>0</v>
      </c>
      <c r="H375" s="225">
        <v>0</v>
      </c>
      <c r="I375" s="225"/>
      <c r="J375" s="225"/>
      <c r="K375" s="225"/>
      <c r="L375" s="221">
        <f>G375-H375-I375-J375-K375</f>
        <v>0</v>
      </c>
      <c r="M375" s="221">
        <f>H375-N375-O375</f>
        <v>0</v>
      </c>
      <c r="N375" s="221">
        <v>0</v>
      </c>
      <c r="O375" s="221">
        <v>0</v>
      </c>
      <c r="P375" s="195">
        <f>C375+D375+E375-F375-G375</f>
        <v>0</v>
      </c>
      <c r="Q375" s="184"/>
      <c r="S375" s="184" t="s">
        <v>343</v>
      </c>
      <c r="T375" s="184" t="s">
        <v>343</v>
      </c>
      <c r="U375" s="184">
        <v>20</v>
      </c>
      <c r="V375" s="184" t="s">
        <v>626</v>
      </c>
      <c r="W375" s="256" t="s">
        <v>21</v>
      </c>
      <c r="X375" s="297">
        <f>H375</f>
        <v>0</v>
      </c>
      <c r="Y375" s="297">
        <f>L375</f>
        <v>0</v>
      </c>
      <c r="Z375" s="256" t="s">
        <v>316</v>
      </c>
    </row>
    <row r="376" spans="1:26" x14ac:dyDescent="0.25">
      <c r="A376" s="184"/>
      <c r="B376" s="256"/>
      <c r="C376" s="225"/>
      <c r="D376" s="225"/>
      <c r="E376" s="225"/>
      <c r="F376" s="225"/>
      <c r="G376" s="225"/>
      <c r="H376" s="225"/>
      <c r="I376" s="225"/>
      <c r="J376" s="225"/>
      <c r="K376" s="225"/>
      <c r="L376" s="225"/>
      <c r="M376" s="225"/>
      <c r="N376" s="225"/>
      <c r="O376" s="225"/>
      <c r="P376" s="184"/>
      <c r="Q376" s="184"/>
      <c r="W376" s="256"/>
      <c r="Z376" s="256"/>
    </row>
    <row r="377" spans="1:26" ht="13.8" thickBot="1" x14ac:dyDescent="0.3">
      <c r="A377" s="184"/>
      <c r="B377" s="260" t="s">
        <v>336</v>
      </c>
      <c r="C377" s="228">
        <f t="shared" ref="C377:O377" si="95">SUM(C371:C376)</f>
        <v>72493000</v>
      </c>
      <c r="D377" s="228">
        <f t="shared" si="95"/>
        <v>0</v>
      </c>
      <c r="E377" s="228">
        <f t="shared" si="95"/>
        <v>0</v>
      </c>
      <c r="F377" s="228">
        <f t="shared" si="95"/>
        <v>67979114.530000001</v>
      </c>
      <c r="G377" s="228">
        <f t="shared" si="95"/>
        <v>4513885.4700000007</v>
      </c>
      <c r="H377" s="228">
        <f t="shared" si="95"/>
        <v>4472976.92</v>
      </c>
      <c r="I377" s="228">
        <f t="shared" si="95"/>
        <v>0</v>
      </c>
      <c r="J377" s="228">
        <f t="shared" si="95"/>
        <v>0</v>
      </c>
      <c r="K377" s="228">
        <f t="shared" si="95"/>
        <v>0</v>
      </c>
      <c r="L377" s="228">
        <f t="shared" si="95"/>
        <v>40908.550000000687</v>
      </c>
      <c r="M377" s="228">
        <f t="shared" si="95"/>
        <v>5000</v>
      </c>
      <c r="N377" s="228">
        <f t="shared" si="95"/>
        <v>0</v>
      </c>
      <c r="O377" s="228">
        <f t="shared" si="95"/>
        <v>4467976.92</v>
      </c>
      <c r="P377" s="195">
        <f>C377+D377+E377-F377-G377</f>
        <v>0</v>
      </c>
      <c r="Q377" s="184"/>
      <c r="W377" s="224"/>
      <c r="X377" s="184"/>
      <c r="Y377" s="184"/>
    </row>
    <row r="378" spans="1:26" ht="13.8" thickTop="1" x14ac:dyDescent="0.25">
      <c r="A378" s="184"/>
      <c r="B378" s="256"/>
      <c r="C378" s="225"/>
      <c r="D378" s="225"/>
      <c r="E378" s="225"/>
      <c r="F378" s="225"/>
      <c r="G378" s="225"/>
      <c r="H378" s="225"/>
      <c r="I378" s="225"/>
      <c r="J378" s="225"/>
      <c r="K378" s="225"/>
      <c r="L378" s="225"/>
      <c r="M378" s="225"/>
      <c r="N378" s="225"/>
      <c r="O378" s="225"/>
      <c r="P378" s="184"/>
      <c r="Q378" s="184"/>
      <c r="W378" s="256"/>
      <c r="Z378" s="256"/>
    </row>
    <row r="379" spans="1:26" x14ac:dyDescent="0.25">
      <c r="A379" s="224" t="s">
        <v>337</v>
      </c>
      <c r="B379" s="184"/>
      <c r="C379" s="212"/>
      <c r="D379" s="225"/>
      <c r="E379" s="225"/>
      <c r="F379" s="225"/>
      <c r="G379" s="225"/>
      <c r="H379" s="225"/>
      <c r="I379" s="225"/>
      <c r="J379" s="225"/>
      <c r="K379" s="225"/>
      <c r="L379" s="225"/>
      <c r="M379" s="225"/>
      <c r="N379" s="225"/>
      <c r="O379" s="225"/>
      <c r="P379" s="184"/>
      <c r="Q379" s="184"/>
    </row>
    <row r="380" spans="1:26" x14ac:dyDescent="0.25">
      <c r="A380" s="184"/>
      <c r="B380" s="256" t="s">
        <v>338</v>
      </c>
      <c r="C380" s="225">
        <v>12000000</v>
      </c>
      <c r="D380" s="225"/>
      <c r="E380" s="225"/>
      <c r="F380" s="225">
        <f>3999642.27+8000357.73</f>
        <v>12000000</v>
      </c>
      <c r="G380" s="225">
        <v>0</v>
      </c>
      <c r="H380" s="225">
        <v>0</v>
      </c>
      <c r="I380" s="225"/>
      <c r="J380" s="225"/>
      <c r="K380" s="225"/>
      <c r="L380" s="221">
        <f>G380-H380-I380-J380-K380</f>
        <v>0</v>
      </c>
      <c r="M380" s="221">
        <f>H380-N380-O380</f>
        <v>0</v>
      </c>
      <c r="N380" s="221"/>
      <c r="O380" s="221">
        <v>0</v>
      </c>
      <c r="P380" s="195">
        <f>C380+D380+E380-F380-G380</f>
        <v>0</v>
      </c>
      <c r="Q380" s="184"/>
      <c r="S380" s="184" t="s">
        <v>343</v>
      </c>
      <c r="T380" s="184" t="s">
        <v>343</v>
      </c>
      <c r="U380" s="184">
        <v>20</v>
      </c>
      <c r="V380" s="184" t="s">
        <v>627</v>
      </c>
      <c r="W380" s="256" t="s">
        <v>15</v>
      </c>
      <c r="X380" s="297">
        <f>H380</f>
        <v>0</v>
      </c>
      <c r="Y380" s="297">
        <f>L380</f>
        <v>0</v>
      </c>
      <c r="Z380" s="256" t="s">
        <v>338</v>
      </c>
    </row>
    <row r="381" spans="1:26" x14ac:dyDescent="0.25">
      <c r="A381" s="184"/>
      <c r="B381" s="256" t="s">
        <v>339</v>
      </c>
      <c r="C381" s="225">
        <v>92500000</v>
      </c>
      <c r="D381" s="225">
        <f>-6000000-86491803.38</f>
        <v>-92491803.379999995</v>
      </c>
      <c r="E381" s="225"/>
      <c r="F381" s="225">
        <f>8196.62</f>
        <v>8196.6200000000008</v>
      </c>
      <c r="G381" s="225">
        <v>0</v>
      </c>
      <c r="H381" s="225">
        <v>0</v>
      </c>
      <c r="I381" s="225"/>
      <c r="J381" s="225"/>
      <c r="K381" s="225">
        <f>[5]SU!K98</f>
        <v>0</v>
      </c>
      <c r="L381" s="221">
        <f>G381-H381-I381-J381-K381</f>
        <v>0</v>
      </c>
      <c r="M381" s="221">
        <f>H381-N381-O381</f>
        <v>0</v>
      </c>
      <c r="N381" s="221">
        <v>0</v>
      </c>
      <c r="O381" s="221">
        <v>0</v>
      </c>
      <c r="P381" s="195">
        <f>C381+D381+E381-F381-G381</f>
        <v>4.7675712266936898E-9</v>
      </c>
      <c r="Q381" s="184"/>
      <c r="S381" s="184" t="s">
        <v>343</v>
      </c>
      <c r="T381" s="184" t="s">
        <v>343</v>
      </c>
      <c r="U381" s="184">
        <v>20</v>
      </c>
      <c r="V381" s="184" t="s">
        <v>627</v>
      </c>
      <c r="W381" s="256" t="s">
        <v>20</v>
      </c>
      <c r="X381" s="297">
        <f>H381</f>
        <v>0</v>
      </c>
      <c r="Y381" s="297">
        <f>L381</f>
        <v>0</v>
      </c>
      <c r="Z381" s="256" t="s">
        <v>339</v>
      </c>
    </row>
    <row r="382" spans="1:26" x14ac:dyDescent="0.25">
      <c r="A382" s="184"/>
      <c r="B382" s="256"/>
      <c r="C382" s="225"/>
      <c r="D382" s="225"/>
      <c r="E382" s="225"/>
      <c r="F382" s="225"/>
      <c r="G382" s="225"/>
      <c r="H382" s="225"/>
      <c r="I382" s="225"/>
      <c r="J382" s="225"/>
      <c r="K382" s="225"/>
      <c r="L382" s="225"/>
      <c r="M382" s="225"/>
      <c r="N382" s="225"/>
      <c r="O382" s="225"/>
      <c r="P382" s="184"/>
      <c r="Q382" s="184"/>
      <c r="W382" s="256"/>
      <c r="Z382" s="256"/>
    </row>
    <row r="383" spans="1:26" ht="13.8" thickBot="1" x14ac:dyDescent="0.3">
      <c r="A383" s="184"/>
      <c r="B383" s="260" t="s">
        <v>340</v>
      </c>
      <c r="C383" s="228">
        <f>SUM(C380:C382)</f>
        <v>104500000</v>
      </c>
      <c r="D383" s="228">
        <f t="shared" ref="D383:O383" si="96">SUM(D380:D382)</f>
        <v>-92491803.379999995</v>
      </c>
      <c r="E383" s="228">
        <f t="shared" si="96"/>
        <v>0</v>
      </c>
      <c r="F383" s="228">
        <f t="shared" si="96"/>
        <v>12008196.619999999</v>
      </c>
      <c r="G383" s="228">
        <f t="shared" si="96"/>
        <v>0</v>
      </c>
      <c r="H383" s="228">
        <f>SUM(H380:H382)</f>
        <v>0</v>
      </c>
      <c r="I383" s="228">
        <f t="shared" si="96"/>
        <v>0</v>
      </c>
      <c r="J383" s="228">
        <f t="shared" si="96"/>
        <v>0</v>
      </c>
      <c r="K383" s="228">
        <f t="shared" si="96"/>
        <v>0</v>
      </c>
      <c r="L383" s="228">
        <f t="shared" si="96"/>
        <v>0</v>
      </c>
      <c r="M383" s="228">
        <f t="shared" si="96"/>
        <v>0</v>
      </c>
      <c r="N383" s="228">
        <f t="shared" si="96"/>
        <v>0</v>
      </c>
      <c r="O383" s="228">
        <f t="shared" si="96"/>
        <v>0</v>
      </c>
      <c r="P383" s="195">
        <f>C383+D383+E383-F383-G383</f>
        <v>5.5879354476928711E-9</v>
      </c>
      <c r="Q383" s="184"/>
      <c r="W383" s="224"/>
      <c r="X383" s="184"/>
      <c r="Y383" s="184"/>
    </row>
    <row r="384" spans="1:26" ht="13.8" thickTop="1" x14ac:dyDescent="0.25">
      <c r="A384" s="184"/>
      <c r="B384" s="256"/>
      <c r="C384" s="225"/>
      <c r="D384" s="225"/>
      <c r="E384" s="225"/>
      <c r="F384" s="225"/>
      <c r="G384" s="225"/>
      <c r="H384" s="225"/>
      <c r="I384" s="225"/>
      <c r="J384" s="225"/>
      <c r="K384" s="225"/>
      <c r="L384" s="225"/>
      <c r="M384" s="225"/>
      <c r="N384" s="225"/>
      <c r="O384" s="225"/>
      <c r="P384" s="184"/>
      <c r="Q384" s="184"/>
      <c r="W384" s="256"/>
      <c r="Z384" s="256"/>
    </row>
    <row r="385" spans="1:26" x14ac:dyDescent="0.25">
      <c r="A385" s="224" t="s">
        <v>341</v>
      </c>
      <c r="B385" s="184"/>
      <c r="C385" s="212"/>
      <c r="D385" s="212"/>
      <c r="E385" s="222"/>
      <c r="F385" s="189"/>
      <c r="G385" s="221"/>
      <c r="H385" s="226"/>
      <c r="I385" s="221"/>
      <c r="J385" s="221"/>
      <c r="K385" s="221"/>
      <c r="L385" s="221"/>
      <c r="M385" s="221"/>
      <c r="N385" s="221"/>
      <c r="O385" s="221"/>
      <c r="P385" s="184"/>
      <c r="Q385" s="184"/>
    </row>
    <row r="386" spans="1:26" x14ac:dyDescent="0.25">
      <c r="A386" s="184"/>
      <c r="B386" s="184" t="s">
        <v>342</v>
      </c>
      <c r="C386" s="212">
        <v>12000000</v>
      </c>
      <c r="D386" s="212"/>
      <c r="E386" s="222"/>
      <c r="F386" s="221">
        <f>154530.8+7892487.67+3952981.53</f>
        <v>12000000</v>
      </c>
      <c r="G386" s="221">
        <v>0</v>
      </c>
      <c r="H386" s="226">
        <v>0</v>
      </c>
      <c r="I386" s="221">
        <f>[5]UMCP!I427</f>
        <v>0</v>
      </c>
      <c r="J386" s="221">
        <f>[5]UMCP!J427</f>
        <v>0</v>
      </c>
      <c r="K386" s="221">
        <f>[5]UMCP!K427</f>
        <v>0</v>
      </c>
      <c r="L386" s="221">
        <f t="shared" ref="L386:L393" si="97">G386-H386-I386-J386-K386</f>
        <v>0</v>
      </c>
      <c r="M386" s="221">
        <f t="shared" ref="M386:M393" si="98">H386-N386-O386</f>
        <v>0</v>
      </c>
      <c r="N386" s="221">
        <v>0</v>
      </c>
      <c r="O386" s="221">
        <v>0</v>
      </c>
      <c r="P386" s="195">
        <f t="shared" ref="P386:P393" si="99">C386+D386+E386-F386-G386</f>
        <v>0</v>
      </c>
      <c r="Q386" s="184"/>
      <c r="S386" s="184" t="s">
        <v>343</v>
      </c>
      <c r="T386" s="184" t="s">
        <v>343</v>
      </c>
      <c r="U386" s="184">
        <v>30</v>
      </c>
      <c r="V386" s="184" t="s">
        <v>58</v>
      </c>
      <c r="W386" s="184" t="s">
        <v>11</v>
      </c>
      <c r="X386" s="297">
        <f t="shared" ref="X386:X393" si="100">H386</f>
        <v>0</v>
      </c>
      <c r="Y386" s="297">
        <f t="shared" ref="Y386:Y393" si="101">L386</f>
        <v>0</v>
      </c>
      <c r="Z386" s="184" t="s">
        <v>342</v>
      </c>
    </row>
    <row r="387" spans="1:26" x14ac:dyDescent="0.25">
      <c r="A387" s="184"/>
      <c r="B387" s="184" t="s">
        <v>332</v>
      </c>
      <c r="C387" s="212">
        <v>26500000</v>
      </c>
      <c r="D387" s="212"/>
      <c r="E387" s="222"/>
      <c r="F387" s="221">
        <f>20828474.09</f>
        <v>20828474.09</v>
      </c>
      <c r="G387" s="221">
        <v>5671525.9100000001</v>
      </c>
      <c r="H387" s="226">
        <v>5671525.9100000001</v>
      </c>
      <c r="I387" s="221">
        <f>[5]UMCP!I458</f>
        <v>0</v>
      </c>
      <c r="J387" s="221">
        <f>[5]UMCP!J458</f>
        <v>0</v>
      </c>
      <c r="K387" s="221">
        <f>[5]UMCP!K458</f>
        <v>0</v>
      </c>
      <c r="L387" s="221">
        <f>G387-H387-I387-J387-K387</f>
        <v>0</v>
      </c>
      <c r="M387" s="221">
        <f t="shared" si="98"/>
        <v>0</v>
      </c>
      <c r="N387" s="221">
        <v>0</v>
      </c>
      <c r="O387" s="221">
        <v>5671525.9100000001</v>
      </c>
      <c r="P387" s="195">
        <f t="shared" si="99"/>
        <v>0</v>
      </c>
      <c r="Q387" s="184"/>
      <c r="S387" s="184" t="s">
        <v>343</v>
      </c>
      <c r="T387" s="184" t="s">
        <v>343</v>
      </c>
      <c r="U387" s="184">
        <v>30</v>
      </c>
      <c r="V387" s="184" t="s">
        <v>58</v>
      </c>
      <c r="W387" s="184" t="s">
        <v>11</v>
      </c>
      <c r="X387" s="297">
        <f t="shared" si="100"/>
        <v>5671525.9100000001</v>
      </c>
      <c r="Y387" s="297">
        <f t="shared" si="101"/>
        <v>0</v>
      </c>
      <c r="Z387" s="184" t="s">
        <v>332</v>
      </c>
    </row>
    <row r="388" spans="1:26" x14ac:dyDescent="0.25">
      <c r="A388" s="184"/>
      <c r="B388" s="184" t="s">
        <v>344</v>
      </c>
      <c r="C388" s="225">
        <v>1500000</v>
      </c>
      <c r="D388" s="212"/>
      <c r="E388" s="222"/>
      <c r="F388" s="262"/>
      <c r="G388" s="221">
        <v>1500000</v>
      </c>
      <c r="H388" s="226">
        <v>7873.27</v>
      </c>
      <c r="I388" s="221">
        <f>[5]UMCP!I369</f>
        <v>0</v>
      </c>
      <c r="J388" s="221">
        <f>[5]UMCP!J369</f>
        <v>0</v>
      </c>
      <c r="K388" s="221">
        <f>[5]UMCP!K369</f>
        <v>0</v>
      </c>
      <c r="L388" s="221">
        <f t="shared" si="97"/>
        <v>1492126.73</v>
      </c>
      <c r="M388" s="221">
        <f t="shared" si="98"/>
        <v>7873.27</v>
      </c>
      <c r="N388" s="221">
        <v>0</v>
      </c>
      <c r="O388" s="221">
        <v>0</v>
      </c>
      <c r="P388" s="195">
        <f t="shared" si="99"/>
        <v>0</v>
      </c>
      <c r="Q388" s="184"/>
      <c r="S388" s="184" t="s">
        <v>343</v>
      </c>
      <c r="T388" s="184" t="s">
        <v>343</v>
      </c>
      <c r="U388" s="184">
        <v>20</v>
      </c>
      <c r="V388" s="184" t="s">
        <v>58</v>
      </c>
      <c r="W388" s="184" t="s">
        <v>11</v>
      </c>
      <c r="X388" s="297">
        <f t="shared" si="100"/>
        <v>7873.27</v>
      </c>
      <c r="Y388" s="297">
        <f t="shared" si="101"/>
        <v>1492126.73</v>
      </c>
      <c r="Z388" s="184" t="s">
        <v>344</v>
      </c>
    </row>
    <row r="389" spans="1:26" x14ac:dyDescent="0.25">
      <c r="A389" s="184"/>
      <c r="B389" s="184" t="s">
        <v>334</v>
      </c>
      <c r="C389" s="225">
        <v>9900000</v>
      </c>
      <c r="D389" s="212"/>
      <c r="E389" s="222"/>
      <c r="F389" s="221">
        <f>26214.56+9873785.44</f>
        <v>9900000</v>
      </c>
      <c r="G389" s="221">
        <v>0</v>
      </c>
      <c r="H389" s="226">
        <v>0</v>
      </c>
      <c r="I389" s="221">
        <v>0</v>
      </c>
      <c r="J389" s="221">
        <v>0</v>
      </c>
      <c r="K389" s="221">
        <v>0</v>
      </c>
      <c r="L389" s="221">
        <f t="shared" si="97"/>
        <v>0</v>
      </c>
      <c r="M389" s="221">
        <f t="shared" si="98"/>
        <v>0</v>
      </c>
      <c r="N389" s="221">
        <v>0</v>
      </c>
      <c r="O389" s="221">
        <v>0</v>
      </c>
      <c r="P389" s="195">
        <f t="shared" si="99"/>
        <v>0</v>
      </c>
      <c r="Q389" s="184"/>
      <c r="S389" s="184" t="s">
        <v>343</v>
      </c>
      <c r="T389" s="184" t="s">
        <v>343</v>
      </c>
      <c r="U389" s="184">
        <v>20</v>
      </c>
      <c r="V389" s="184" t="s">
        <v>58</v>
      </c>
      <c r="W389" s="184" t="s">
        <v>15</v>
      </c>
      <c r="X389" s="297">
        <f t="shared" si="100"/>
        <v>0</v>
      </c>
      <c r="Y389" s="297">
        <f t="shared" si="101"/>
        <v>0</v>
      </c>
      <c r="Z389" s="184" t="s">
        <v>334</v>
      </c>
    </row>
    <row r="390" spans="1:26" x14ac:dyDescent="0.25">
      <c r="A390" s="184"/>
      <c r="B390" s="184" t="s">
        <v>345</v>
      </c>
      <c r="C390" s="212">
        <v>13330000</v>
      </c>
      <c r="D390" s="212"/>
      <c r="E390" s="222"/>
      <c r="F390" s="221">
        <f>13317332.58</f>
        <v>13317332.58</v>
      </c>
      <c r="G390" s="221">
        <v>12667.419999999925</v>
      </c>
      <c r="H390" s="226">
        <v>0</v>
      </c>
      <c r="I390" s="221">
        <f>[5]FSU!I238</f>
        <v>0</v>
      </c>
      <c r="J390" s="221">
        <f>[5]FSU!J238</f>
        <v>0</v>
      </c>
      <c r="K390" s="221">
        <f>[5]FSU!K238</f>
        <v>0</v>
      </c>
      <c r="L390" s="221">
        <f t="shared" si="97"/>
        <v>12667.419999999925</v>
      </c>
      <c r="M390" s="221">
        <f t="shared" si="98"/>
        <v>0</v>
      </c>
      <c r="N390" s="221">
        <v>0</v>
      </c>
      <c r="O390" s="221">
        <v>0</v>
      </c>
      <c r="P390" s="195">
        <f t="shared" si="99"/>
        <v>0</v>
      </c>
      <c r="Q390" s="184"/>
      <c r="S390" s="184" t="s">
        <v>343</v>
      </c>
      <c r="T390" s="184" t="s">
        <v>343</v>
      </c>
      <c r="U390" s="184">
        <v>20</v>
      </c>
      <c r="V390" s="184" t="s">
        <v>58</v>
      </c>
      <c r="W390" s="184" t="s">
        <v>19</v>
      </c>
      <c r="X390" s="297">
        <f t="shared" si="100"/>
        <v>0</v>
      </c>
      <c r="Y390" s="297">
        <f t="shared" si="101"/>
        <v>12667.419999999925</v>
      </c>
      <c r="Z390" s="184" t="s">
        <v>345</v>
      </c>
    </row>
    <row r="391" spans="1:26" x14ac:dyDescent="0.25">
      <c r="A391" s="184"/>
      <c r="B391" s="184" t="s">
        <v>346</v>
      </c>
      <c r="C391" s="212">
        <v>7700000</v>
      </c>
      <c r="D391" s="212"/>
      <c r="E391" s="222"/>
      <c r="F391" s="221">
        <f>1990561.7+1418383.39+637208.77</f>
        <v>4046153.86</v>
      </c>
      <c r="G391" s="221">
        <v>3653846.1400000011</v>
      </c>
      <c r="H391" s="226">
        <v>122364.90999999999</v>
      </c>
      <c r="I391" s="221">
        <f>[5]FSU!I225</f>
        <v>0</v>
      </c>
      <c r="J391" s="221">
        <f>[5]FSU!J225</f>
        <v>0</v>
      </c>
      <c r="K391" s="221">
        <f>[5]FSU!K225</f>
        <v>0</v>
      </c>
      <c r="L391" s="221">
        <f t="shared" si="97"/>
        <v>3531481.2300000009</v>
      </c>
      <c r="M391" s="221">
        <f t="shared" si="98"/>
        <v>76219.669999999984</v>
      </c>
      <c r="N391" s="221">
        <v>46145.24</v>
      </c>
      <c r="O391" s="221">
        <v>0</v>
      </c>
      <c r="P391" s="195">
        <f t="shared" si="99"/>
        <v>0</v>
      </c>
      <c r="Q391" s="184"/>
      <c r="S391" s="184" t="s">
        <v>343</v>
      </c>
      <c r="T391" s="184" t="s">
        <v>343</v>
      </c>
      <c r="U391" s="184">
        <v>20</v>
      </c>
      <c r="V391" s="184" t="s">
        <v>58</v>
      </c>
      <c r="W391" s="184" t="s">
        <v>19</v>
      </c>
      <c r="X391" s="297">
        <f t="shared" si="100"/>
        <v>122364.90999999999</v>
      </c>
      <c r="Y391" s="297">
        <f t="shared" si="101"/>
        <v>3531481.2300000009</v>
      </c>
      <c r="Z391" s="184" t="s">
        <v>346</v>
      </c>
    </row>
    <row r="392" spans="1:26" x14ac:dyDescent="0.25">
      <c r="A392" s="184"/>
      <c r="B392" s="184" t="s">
        <v>335</v>
      </c>
      <c r="C392" s="212">
        <v>13000000</v>
      </c>
      <c r="D392" s="212"/>
      <c r="E392" s="222"/>
      <c r="F392" s="221">
        <f>369384.87+12614734.63</f>
        <v>12984119.5</v>
      </c>
      <c r="G392" s="221">
        <v>15880.5</v>
      </c>
      <c r="H392" s="226">
        <v>0</v>
      </c>
      <c r="I392" s="221">
        <f>[5]TU!I655</f>
        <v>0</v>
      </c>
      <c r="J392" s="221">
        <f>[5]TU!J655</f>
        <v>0</v>
      </c>
      <c r="K392" s="221">
        <f>[5]TU!K655</f>
        <v>0</v>
      </c>
      <c r="L392" s="221">
        <f t="shared" si="97"/>
        <v>15880.5</v>
      </c>
      <c r="M392" s="221">
        <f t="shared" si="98"/>
        <v>0</v>
      </c>
      <c r="N392" s="221">
        <v>0</v>
      </c>
      <c r="O392" s="221">
        <v>0</v>
      </c>
      <c r="P392" s="195">
        <f t="shared" si="99"/>
        <v>0</v>
      </c>
      <c r="Q392" s="184"/>
      <c r="S392" s="184" t="s">
        <v>343</v>
      </c>
      <c r="T392" s="184" t="s">
        <v>343</v>
      </c>
      <c r="U392" s="184">
        <v>20</v>
      </c>
      <c r="V392" s="184" t="s">
        <v>58</v>
      </c>
      <c r="W392" s="184" t="s">
        <v>21</v>
      </c>
      <c r="X392" s="297">
        <f t="shared" si="100"/>
        <v>0</v>
      </c>
      <c r="Y392" s="297">
        <f t="shared" si="101"/>
        <v>15880.5</v>
      </c>
      <c r="Z392" s="184" t="s">
        <v>335</v>
      </c>
    </row>
    <row r="393" spans="1:26" x14ac:dyDescent="0.25">
      <c r="A393" s="184"/>
      <c r="B393" s="184" t="s">
        <v>316</v>
      </c>
      <c r="C393" s="212">
        <v>4201000</v>
      </c>
      <c r="D393" s="212"/>
      <c r="E393" s="222"/>
      <c r="F393" s="221">
        <f>2299950.22+816599.94+38991.5</f>
        <v>3155541.66</v>
      </c>
      <c r="G393" s="221">
        <v>1045458.3399999999</v>
      </c>
      <c r="H393" s="226">
        <v>219205.91999999998</v>
      </c>
      <c r="I393" s="221">
        <f>[5]TU!I448</f>
        <v>0</v>
      </c>
      <c r="J393" s="221">
        <f>[5]TU!J448</f>
        <v>0</v>
      </c>
      <c r="K393" s="226">
        <f>[5]TU!K448</f>
        <v>0</v>
      </c>
      <c r="L393" s="221">
        <f t="shared" si="97"/>
        <v>826252.41999999993</v>
      </c>
      <c r="M393" s="221">
        <f t="shared" si="98"/>
        <v>187299.87</v>
      </c>
      <c r="N393" s="221">
        <v>31906.050000000003</v>
      </c>
      <c r="O393" s="221">
        <v>0</v>
      </c>
      <c r="P393" s="195">
        <f t="shared" si="99"/>
        <v>0</v>
      </c>
      <c r="Q393" s="184"/>
      <c r="S393" s="184" t="s">
        <v>343</v>
      </c>
      <c r="T393" s="184" t="s">
        <v>343</v>
      </c>
      <c r="U393" s="184">
        <v>20</v>
      </c>
      <c r="V393" s="184" t="s">
        <v>58</v>
      </c>
      <c r="W393" s="184" t="s">
        <v>21</v>
      </c>
      <c r="X393" s="297">
        <f t="shared" si="100"/>
        <v>219205.91999999998</v>
      </c>
      <c r="Y393" s="297">
        <f t="shared" si="101"/>
        <v>826252.41999999993</v>
      </c>
      <c r="Z393" s="184" t="s">
        <v>316</v>
      </c>
    </row>
    <row r="394" spans="1:26" x14ac:dyDescent="0.25">
      <c r="A394" s="184"/>
      <c r="B394" s="184"/>
      <c r="C394" s="212"/>
      <c r="D394" s="212"/>
      <c r="E394" s="222"/>
      <c r="F394" s="222"/>
      <c r="G394" s="221"/>
      <c r="H394" s="226"/>
      <c r="I394" s="221"/>
      <c r="J394" s="221"/>
      <c r="K394" s="221"/>
      <c r="L394" s="221"/>
      <c r="M394" s="221"/>
      <c r="N394" s="221"/>
      <c r="O394" s="221"/>
      <c r="P394" s="184"/>
      <c r="Q394" s="184"/>
    </row>
    <row r="395" spans="1:26" ht="13.8" thickBot="1" x14ac:dyDescent="0.3">
      <c r="A395" s="184"/>
      <c r="B395" s="260" t="s">
        <v>347</v>
      </c>
      <c r="C395" s="228">
        <f>SUM(C386:C394)</f>
        <v>88131000</v>
      </c>
      <c r="D395" s="228">
        <f t="shared" ref="D395:O395" si="102">SUM(D386:D394)</f>
        <v>0</v>
      </c>
      <c r="E395" s="228">
        <f t="shared" si="102"/>
        <v>0</v>
      </c>
      <c r="F395" s="228">
        <f t="shared" si="102"/>
        <v>76231621.689999998</v>
      </c>
      <c r="G395" s="228">
        <f t="shared" si="102"/>
        <v>11899378.310000001</v>
      </c>
      <c r="H395" s="228">
        <f t="shared" si="102"/>
        <v>6020970.0099999998</v>
      </c>
      <c r="I395" s="228">
        <f t="shared" si="102"/>
        <v>0</v>
      </c>
      <c r="J395" s="228">
        <f t="shared" si="102"/>
        <v>0</v>
      </c>
      <c r="K395" s="228">
        <f t="shared" si="102"/>
        <v>0</v>
      </c>
      <c r="L395" s="228">
        <f t="shared" si="102"/>
        <v>5878408.3000000007</v>
      </c>
      <c r="M395" s="228">
        <f t="shared" si="102"/>
        <v>271392.81</v>
      </c>
      <c r="N395" s="228">
        <f t="shared" si="102"/>
        <v>78051.290000000008</v>
      </c>
      <c r="O395" s="228">
        <f t="shared" si="102"/>
        <v>5671525.9100000001</v>
      </c>
      <c r="P395" s="195">
        <f>C395+D395+E395-F395-G395</f>
        <v>0</v>
      </c>
      <c r="Q395" s="184"/>
      <c r="W395" s="224"/>
      <c r="X395" s="184"/>
      <c r="Y395" s="184"/>
    </row>
    <row r="396" spans="1:26" ht="13.8" thickTop="1" x14ac:dyDescent="0.25">
      <c r="A396" s="184"/>
      <c r="B396" s="184"/>
      <c r="C396" s="212"/>
      <c r="D396" s="212"/>
      <c r="E396" s="222"/>
      <c r="F396" s="222"/>
      <c r="G396" s="221"/>
      <c r="H396" s="226"/>
      <c r="I396" s="221"/>
      <c r="J396" s="221"/>
      <c r="K396" s="221"/>
      <c r="L396" s="221"/>
      <c r="M396" s="221"/>
      <c r="N396" s="221"/>
      <c r="O396" s="221"/>
      <c r="P396" s="184"/>
      <c r="Q396" s="184"/>
    </row>
    <row r="397" spans="1:26" x14ac:dyDescent="0.25">
      <c r="A397" s="224" t="s">
        <v>348</v>
      </c>
      <c r="B397" s="184"/>
      <c r="C397" s="212"/>
      <c r="D397" s="212"/>
      <c r="E397" s="222"/>
      <c r="F397" s="262"/>
      <c r="G397" s="221"/>
      <c r="H397" s="226"/>
      <c r="I397" s="221"/>
      <c r="J397" s="221"/>
      <c r="K397" s="221"/>
      <c r="L397" s="221"/>
      <c r="M397" s="221"/>
      <c r="N397" s="221"/>
      <c r="O397" s="221"/>
      <c r="P397" s="184"/>
      <c r="Q397" s="184"/>
    </row>
    <row r="398" spans="1:26" x14ac:dyDescent="0.25">
      <c r="A398" s="184"/>
      <c r="B398" s="184" t="s">
        <v>349</v>
      </c>
      <c r="C398" s="212">
        <v>3000000</v>
      </c>
      <c r="D398" s="212"/>
      <c r="E398" s="222"/>
      <c r="F398" s="221">
        <f>3000000</f>
        <v>3000000</v>
      </c>
      <c r="G398" s="221">
        <v>0</v>
      </c>
      <c r="H398" s="226">
        <v>0</v>
      </c>
      <c r="I398" s="221">
        <v>0</v>
      </c>
      <c r="J398" s="221">
        <v>0</v>
      </c>
      <c r="K398" s="221">
        <v>0</v>
      </c>
      <c r="L398" s="221">
        <f>G398-H398-I398-J398-K398</f>
        <v>0</v>
      </c>
      <c r="M398" s="221"/>
      <c r="N398" s="221"/>
      <c r="O398" s="221"/>
      <c r="P398" s="184"/>
      <c r="Q398" s="184"/>
      <c r="W398" s="184" t="s">
        <v>11</v>
      </c>
      <c r="Z398" s="184" t="s">
        <v>349</v>
      </c>
    </row>
    <row r="399" spans="1:26" x14ac:dyDescent="0.25">
      <c r="A399" s="184"/>
      <c r="B399" s="184" t="s">
        <v>332</v>
      </c>
      <c r="C399" s="212">
        <v>43000000</v>
      </c>
      <c r="D399" s="212"/>
      <c r="E399" s="222"/>
      <c r="F399" s="221">
        <f>43000000</f>
        <v>43000000</v>
      </c>
      <c r="G399" s="221">
        <v>0</v>
      </c>
      <c r="H399" s="226">
        <v>0</v>
      </c>
      <c r="I399" s="221">
        <f>[5]UMCP!I466</f>
        <v>0</v>
      </c>
      <c r="J399" s="221">
        <f>[5]UMCP!J466</f>
        <v>0</v>
      </c>
      <c r="K399" s="221">
        <f>[5]UMCP!K466</f>
        <v>0</v>
      </c>
      <c r="L399" s="221">
        <f>G399-H399-I399-J399-K399</f>
        <v>0</v>
      </c>
      <c r="M399" s="221"/>
      <c r="N399" s="221"/>
      <c r="O399" s="221">
        <f>H397+K397</f>
        <v>0</v>
      </c>
      <c r="P399" s="184"/>
      <c r="Q399" s="184"/>
      <c r="W399" s="184" t="s">
        <v>11</v>
      </c>
      <c r="Z399" s="184" t="s">
        <v>332</v>
      </c>
    </row>
    <row r="400" spans="1:26" x14ac:dyDescent="0.25">
      <c r="A400" s="184"/>
      <c r="B400" s="184" t="s">
        <v>350</v>
      </c>
      <c r="C400" s="225">
        <v>2000000</v>
      </c>
      <c r="D400" s="212"/>
      <c r="E400" s="222"/>
      <c r="F400" s="221">
        <f>419922.48+51833</f>
        <v>471755.48</v>
      </c>
      <c r="G400" s="221">
        <v>1528244.52</v>
      </c>
      <c r="H400" s="226">
        <v>0</v>
      </c>
      <c r="I400" s="221">
        <f>[5]UMCP!I433</f>
        <v>0</v>
      </c>
      <c r="J400" s="221">
        <f>[5]UMCP!J433</f>
        <v>0</v>
      </c>
      <c r="K400" s="221">
        <f>[5]UMCP!K433</f>
        <v>0</v>
      </c>
      <c r="L400" s="221">
        <f>G400-H400-I400-J400-K400</f>
        <v>1528244.52</v>
      </c>
      <c r="M400" s="221">
        <f>H400-N400-O400</f>
        <v>0</v>
      </c>
      <c r="N400" s="221">
        <v>0</v>
      </c>
      <c r="O400" s="221">
        <v>0</v>
      </c>
      <c r="P400" s="195">
        <f>C400+D400+E400-F400-G400</f>
        <v>0</v>
      </c>
      <c r="Q400" s="184"/>
      <c r="S400" s="184" t="s">
        <v>343</v>
      </c>
      <c r="T400" s="184" t="s">
        <v>343</v>
      </c>
      <c r="U400" s="184">
        <v>20</v>
      </c>
      <c r="V400" s="184" t="s">
        <v>108</v>
      </c>
      <c r="W400" s="184" t="s">
        <v>11</v>
      </c>
      <c r="X400" s="297">
        <f>H400</f>
        <v>0</v>
      </c>
      <c r="Y400" s="297">
        <f>L400</f>
        <v>1528244.52</v>
      </c>
      <c r="Z400" s="184" t="s">
        <v>350</v>
      </c>
    </row>
    <row r="401" spans="1:26" x14ac:dyDescent="0.25">
      <c r="A401" s="184"/>
      <c r="B401" s="184" t="s">
        <v>345</v>
      </c>
      <c r="C401" s="212">
        <v>22920000</v>
      </c>
      <c r="D401" s="212"/>
      <c r="E401" s="222"/>
      <c r="F401" s="221">
        <f>16576413.36+6343586.64</f>
        <v>22920000</v>
      </c>
      <c r="G401" s="221">
        <v>0</v>
      </c>
      <c r="H401" s="226">
        <v>0</v>
      </c>
      <c r="I401" s="221">
        <v>0</v>
      </c>
      <c r="J401" s="221">
        <v>0</v>
      </c>
      <c r="K401" s="221">
        <v>0</v>
      </c>
      <c r="L401" s="221">
        <f>G401-H401-I401-J401-K401</f>
        <v>0</v>
      </c>
      <c r="M401" s="221">
        <f>H401-N401-O401</f>
        <v>0</v>
      </c>
      <c r="N401" s="221">
        <v>0</v>
      </c>
      <c r="O401" s="221">
        <v>0</v>
      </c>
      <c r="P401" s="195">
        <f>C401+D401+E401-F401-G401</f>
        <v>0</v>
      </c>
      <c r="Q401" s="184"/>
      <c r="S401" s="184" t="s">
        <v>343</v>
      </c>
      <c r="T401" s="184" t="s">
        <v>343</v>
      </c>
      <c r="W401" s="184" t="s">
        <v>19</v>
      </c>
      <c r="X401" s="297">
        <f>H401</f>
        <v>0</v>
      </c>
      <c r="Y401" s="297">
        <f>L401</f>
        <v>0</v>
      </c>
      <c r="Z401" s="184" t="s">
        <v>345</v>
      </c>
    </row>
    <row r="402" spans="1:26" x14ac:dyDescent="0.25">
      <c r="A402" s="184"/>
      <c r="B402" s="184" t="s">
        <v>335</v>
      </c>
      <c r="C402" s="212">
        <v>23000000</v>
      </c>
      <c r="D402" s="212"/>
      <c r="E402" s="222"/>
      <c r="F402" s="221">
        <f>112506.16+14549736.15+8337757.69</f>
        <v>23000000</v>
      </c>
      <c r="G402" s="221">
        <v>0</v>
      </c>
      <c r="H402" s="226">
        <v>0</v>
      </c>
      <c r="I402" s="221">
        <f>[5]TU!I665</f>
        <v>0</v>
      </c>
      <c r="J402" s="221">
        <f>[5]TU!J665</f>
        <v>0</v>
      </c>
      <c r="K402" s="221">
        <f>[5]TU!K665</f>
        <v>0</v>
      </c>
      <c r="L402" s="221">
        <f>G402-H402-I402-J402-K402</f>
        <v>0</v>
      </c>
      <c r="M402" s="221">
        <f>H402-N402-O402</f>
        <v>0</v>
      </c>
      <c r="N402" s="221">
        <v>0</v>
      </c>
      <c r="O402" s="221">
        <v>0</v>
      </c>
      <c r="P402" s="195">
        <f>C402+D402+E402-F402-G402</f>
        <v>0</v>
      </c>
      <c r="Q402" s="184"/>
      <c r="S402" s="184" t="s">
        <v>343</v>
      </c>
      <c r="T402" s="184" t="s">
        <v>343</v>
      </c>
      <c r="U402" s="184">
        <v>20</v>
      </c>
      <c r="V402" s="184" t="s">
        <v>108</v>
      </c>
      <c r="W402" s="184" t="s">
        <v>21</v>
      </c>
      <c r="X402" s="297">
        <f>H402</f>
        <v>0</v>
      </c>
      <c r="Y402" s="297">
        <f>L402</f>
        <v>0</v>
      </c>
      <c r="Z402" s="184" t="s">
        <v>335</v>
      </c>
    </row>
    <row r="403" spans="1:26" x14ac:dyDescent="0.25">
      <c r="A403" s="184"/>
      <c r="B403" s="184"/>
      <c r="C403" s="212"/>
      <c r="D403" s="212"/>
      <c r="E403" s="222"/>
      <c r="F403" s="222"/>
      <c r="G403" s="221"/>
      <c r="H403" s="226"/>
      <c r="I403" s="221"/>
      <c r="J403" s="221"/>
      <c r="K403" s="221"/>
      <c r="L403" s="221"/>
      <c r="M403" s="221"/>
      <c r="N403" s="221"/>
      <c r="O403" s="221"/>
      <c r="P403" s="184"/>
      <c r="Q403" s="184"/>
    </row>
    <row r="404" spans="1:26" ht="13.8" thickBot="1" x14ac:dyDescent="0.3">
      <c r="A404" s="184"/>
      <c r="B404" s="260" t="s">
        <v>351</v>
      </c>
      <c r="C404" s="228">
        <f>SUM(C398:C403)</f>
        <v>93920000</v>
      </c>
      <c r="D404" s="228">
        <f t="shared" ref="D404:O404" si="103">SUM(D398:D403)</f>
        <v>0</v>
      </c>
      <c r="E404" s="228">
        <f t="shared" si="103"/>
        <v>0</v>
      </c>
      <c r="F404" s="228">
        <f t="shared" si="103"/>
        <v>92391755.479999989</v>
      </c>
      <c r="G404" s="228">
        <f t="shared" si="103"/>
        <v>1528244.52</v>
      </c>
      <c r="H404" s="228">
        <f t="shared" si="103"/>
        <v>0</v>
      </c>
      <c r="I404" s="228">
        <f t="shared" si="103"/>
        <v>0</v>
      </c>
      <c r="J404" s="228">
        <f t="shared" si="103"/>
        <v>0</v>
      </c>
      <c r="K404" s="228">
        <f t="shared" si="103"/>
        <v>0</v>
      </c>
      <c r="L404" s="228">
        <f t="shared" si="103"/>
        <v>1528244.52</v>
      </c>
      <c r="M404" s="228">
        <f t="shared" si="103"/>
        <v>0</v>
      </c>
      <c r="N404" s="228">
        <f t="shared" si="103"/>
        <v>0</v>
      </c>
      <c r="O404" s="228">
        <f t="shared" si="103"/>
        <v>0</v>
      </c>
      <c r="P404" s="195">
        <f>C404+D404+E404-F404-G404</f>
        <v>1.0710209608078003E-8</v>
      </c>
      <c r="Q404" s="184"/>
      <c r="W404" s="224"/>
      <c r="X404" s="184"/>
      <c r="Y404" s="184"/>
    </row>
    <row r="405" spans="1:26" ht="13.8" thickTop="1" x14ac:dyDescent="0.25">
      <c r="A405" s="184"/>
      <c r="B405" s="184"/>
      <c r="C405" s="212"/>
      <c r="D405" s="212"/>
      <c r="E405" s="222"/>
      <c r="F405" s="222"/>
      <c r="G405" s="221"/>
      <c r="H405" s="226"/>
      <c r="I405" s="221"/>
      <c r="J405" s="221"/>
      <c r="K405" s="221"/>
      <c r="L405" s="221"/>
      <c r="M405" s="221"/>
      <c r="N405" s="221"/>
      <c r="O405" s="221"/>
      <c r="P405" s="184"/>
      <c r="Q405" s="184"/>
    </row>
    <row r="406" spans="1:26" x14ac:dyDescent="0.25">
      <c r="A406" s="224" t="s">
        <v>352</v>
      </c>
      <c r="B406" s="184"/>
      <c r="C406" s="212"/>
      <c r="D406" s="212"/>
      <c r="E406" s="222"/>
      <c r="F406" s="262"/>
      <c r="G406" s="221"/>
      <c r="H406" s="226"/>
      <c r="I406" s="221"/>
      <c r="J406" s="221"/>
      <c r="K406" s="221"/>
      <c r="L406" s="221"/>
      <c r="M406" s="221"/>
      <c r="N406" s="221"/>
      <c r="O406" s="221"/>
      <c r="P406" s="184"/>
      <c r="Q406" s="184"/>
    </row>
    <row r="407" spans="1:26" x14ac:dyDescent="0.25">
      <c r="A407" s="184"/>
      <c r="B407" s="184" t="s">
        <v>349</v>
      </c>
      <c r="C407" s="212">
        <v>1000000</v>
      </c>
      <c r="D407" s="212"/>
      <c r="E407" s="222"/>
      <c r="F407" s="221">
        <f>3173.23+996826.77</f>
        <v>1000000</v>
      </c>
      <c r="G407" s="221">
        <v>0</v>
      </c>
      <c r="H407" s="226">
        <v>0</v>
      </c>
      <c r="I407" s="221"/>
      <c r="J407" s="221"/>
      <c r="K407" s="221"/>
      <c r="L407" s="221">
        <f t="shared" ref="L407:L413" si="104">G407-H407-I407-J407-K407</f>
        <v>0</v>
      </c>
      <c r="M407" s="221"/>
      <c r="N407" s="221"/>
      <c r="O407" s="221"/>
      <c r="P407" s="184"/>
      <c r="Q407" s="184"/>
      <c r="W407" s="184" t="s">
        <v>11</v>
      </c>
      <c r="Z407" s="184" t="s">
        <v>349</v>
      </c>
    </row>
    <row r="408" spans="1:26" x14ac:dyDescent="0.25">
      <c r="A408" s="184"/>
      <c r="B408" s="184" t="s">
        <v>332</v>
      </c>
      <c r="C408" s="212">
        <v>23500000</v>
      </c>
      <c r="D408" s="212"/>
      <c r="E408" s="222"/>
      <c r="F408" s="221">
        <f>3173.23+5947078.15+14643227.32+2906521.3</f>
        <v>23500000.000000004</v>
      </c>
      <c r="G408" s="221">
        <v>0</v>
      </c>
      <c r="H408" s="226">
        <v>0</v>
      </c>
      <c r="I408" s="221"/>
      <c r="J408" s="221"/>
      <c r="K408" s="221">
        <f>[5]UMCP!K476</f>
        <v>0</v>
      </c>
      <c r="L408" s="221">
        <f t="shared" si="104"/>
        <v>0</v>
      </c>
      <c r="M408" s="221"/>
      <c r="N408" s="221"/>
      <c r="O408" s="221">
        <f>H406+K406</f>
        <v>0</v>
      </c>
      <c r="P408" s="184"/>
      <c r="Q408" s="184"/>
      <c r="W408" s="184" t="s">
        <v>11</v>
      </c>
      <c r="Z408" s="184" t="s">
        <v>332</v>
      </c>
    </row>
    <row r="409" spans="1:26" x14ac:dyDescent="0.25">
      <c r="A409" s="184"/>
      <c r="B409" s="184" t="s">
        <v>353</v>
      </c>
      <c r="C409" s="225">
        <v>11000000</v>
      </c>
      <c r="D409" s="212"/>
      <c r="E409" s="222"/>
      <c r="F409" s="221">
        <f>25911.04+10046133.64+146122.43+781832.89</f>
        <v>11000000</v>
      </c>
      <c r="G409" s="221">
        <v>0</v>
      </c>
      <c r="H409" s="226">
        <v>0</v>
      </c>
      <c r="I409" s="221"/>
      <c r="J409" s="221"/>
      <c r="K409" s="221">
        <f>[5]UMBC!K150</f>
        <v>0</v>
      </c>
      <c r="L409" s="221">
        <f t="shared" si="104"/>
        <v>0</v>
      </c>
      <c r="M409" s="221"/>
      <c r="N409" s="221"/>
      <c r="O409" s="221">
        <f>H407+K407</f>
        <v>0</v>
      </c>
      <c r="P409" s="184"/>
      <c r="Q409" s="184"/>
      <c r="W409" s="184" t="s">
        <v>15</v>
      </c>
      <c r="Z409" s="184" t="s">
        <v>353</v>
      </c>
    </row>
    <row r="410" spans="1:26" x14ac:dyDescent="0.25">
      <c r="A410" s="184"/>
      <c r="B410" s="184" t="s">
        <v>346</v>
      </c>
      <c r="C410" s="212">
        <v>4400000</v>
      </c>
      <c r="D410" s="212"/>
      <c r="E410" s="222"/>
      <c r="F410" s="221">
        <f>4314201.49+85798.51</f>
        <v>4400000</v>
      </c>
      <c r="G410" s="221">
        <v>-2.1827872842550278E-10</v>
      </c>
      <c r="H410" s="226">
        <v>0</v>
      </c>
      <c r="I410" s="221"/>
      <c r="J410" s="221"/>
      <c r="K410" s="221"/>
      <c r="L410" s="221">
        <f t="shared" si="104"/>
        <v>-2.1827872842550278E-10</v>
      </c>
      <c r="M410" s="221">
        <f>H410-N410-O410</f>
        <v>0</v>
      </c>
      <c r="N410" s="221">
        <v>0</v>
      </c>
      <c r="O410" s="221">
        <v>0</v>
      </c>
      <c r="P410" s="195">
        <f>C410+D410+E410-F410-G410</f>
        <v>2.1827872842550278E-10</v>
      </c>
      <c r="Q410" s="184"/>
      <c r="S410" s="184" t="s">
        <v>343</v>
      </c>
      <c r="T410" s="184" t="s">
        <v>343</v>
      </c>
      <c r="U410" s="184">
        <v>20</v>
      </c>
      <c r="V410" s="184" t="s">
        <v>41</v>
      </c>
      <c r="W410" s="184" t="s">
        <v>19</v>
      </c>
      <c r="X410" s="297">
        <f>H410</f>
        <v>0</v>
      </c>
      <c r="Y410" s="297">
        <f>L410</f>
        <v>-2.1827872842550278E-10</v>
      </c>
      <c r="Z410" s="184" t="s">
        <v>346</v>
      </c>
    </row>
    <row r="411" spans="1:26" x14ac:dyDescent="0.25">
      <c r="A411" s="184"/>
      <c r="B411" s="184" t="s">
        <v>354</v>
      </c>
      <c r="C411" s="212">
        <v>2500000</v>
      </c>
      <c r="D411" s="212">
        <v>-2498684.27</v>
      </c>
      <c r="E411" s="222"/>
      <c r="F411" s="221">
        <f>629.58+686.15</f>
        <v>1315.73</v>
      </c>
      <c r="G411" s="221">
        <v>0</v>
      </c>
      <c r="H411" s="226">
        <v>0</v>
      </c>
      <c r="I411" s="221"/>
      <c r="J411" s="221"/>
      <c r="K411" s="221"/>
      <c r="L411" s="221">
        <f t="shared" si="104"/>
        <v>0</v>
      </c>
      <c r="M411" s="221">
        <f>H411-N411-O411</f>
        <v>0</v>
      </c>
      <c r="N411" s="221">
        <v>0</v>
      </c>
      <c r="O411" s="221">
        <v>0</v>
      </c>
      <c r="P411" s="195">
        <f>C411+D411+E411-F411-G411</f>
        <v>-1.8644641386345029E-11</v>
      </c>
      <c r="Q411" s="184"/>
      <c r="S411" s="184" t="s">
        <v>343</v>
      </c>
      <c r="T411" s="184" t="s">
        <v>343</v>
      </c>
      <c r="U411" s="184">
        <v>20</v>
      </c>
      <c r="V411" s="184" t="s">
        <v>41</v>
      </c>
      <c r="W411" s="184" t="s">
        <v>20</v>
      </c>
      <c r="X411" s="297">
        <f>H411</f>
        <v>0</v>
      </c>
      <c r="Y411" s="297">
        <f>L411</f>
        <v>0</v>
      </c>
      <c r="Z411" s="184" t="s">
        <v>354</v>
      </c>
    </row>
    <row r="412" spans="1:26" x14ac:dyDescent="0.25">
      <c r="A412" s="184"/>
      <c r="B412" s="184" t="s">
        <v>335</v>
      </c>
      <c r="C412" s="212">
        <v>39000000</v>
      </c>
      <c r="D412" s="212"/>
      <c r="E412" s="222"/>
      <c r="F412" s="221">
        <f>21476541.59+17271552.08+151612.85+7394.63+2849.23</f>
        <v>38909950.380000003</v>
      </c>
      <c r="G412" s="221">
        <v>90049.61999999074</v>
      </c>
      <c r="H412" s="226">
        <v>13853.66</v>
      </c>
      <c r="I412" s="221"/>
      <c r="J412" s="221"/>
      <c r="K412" s="221">
        <f>[5]TU!K681</f>
        <v>0</v>
      </c>
      <c r="L412" s="221">
        <f t="shared" si="104"/>
        <v>76195.959999990737</v>
      </c>
      <c r="M412" s="221">
        <f>H412-N412-O412</f>
        <v>13853.66</v>
      </c>
      <c r="N412" s="221">
        <v>0</v>
      </c>
      <c r="O412" s="221">
        <v>0</v>
      </c>
      <c r="P412" s="195">
        <f>C412+D412+E412-F412-G412</f>
        <v>6.577465683221817E-9</v>
      </c>
      <c r="Q412" s="184"/>
      <c r="S412" s="184" t="s">
        <v>343</v>
      </c>
      <c r="T412" s="184" t="s">
        <v>343</v>
      </c>
      <c r="U412" s="184">
        <v>20</v>
      </c>
      <c r="V412" s="184" t="s">
        <v>41</v>
      </c>
      <c r="W412" s="184" t="s">
        <v>21</v>
      </c>
      <c r="X412" s="297">
        <f>H412</f>
        <v>13853.66</v>
      </c>
      <c r="Y412" s="297">
        <f>L412</f>
        <v>76195.959999990737</v>
      </c>
      <c r="Z412" s="184" t="s">
        <v>335</v>
      </c>
    </row>
    <row r="413" spans="1:26" x14ac:dyDescent="0.25">
      <c r="A413" s="184"/>
      <c r="B413" s="184" t="s">
        <v>355</v>
      </c>
      <c r="C413" s="212">
        <v>10000000</v>
      </c>
      <c r="D413" s="212"/>
      <c r="E413" s="222"/>
      <c r="F413" s="221">
        <f>4328782.66+5671217.34</f>
        <v>10000000</v>
      </c>
      <c r="G413" s="221">
        <v>0</v>
      </c>
      <c r="H413" s="226">
        <v>0</v>
      </c>
      <c r="I413" s="221"/>
      <c r="J413" s="221"/>
      <c r="K413" s="221">
        <f>[5]TU!K536</f>
        <v>0</v>
      </c>
      <c r="L413" s="221">
        <f t="shared" si="104"/>
        <v>0</v>
      </c>
      <c r="M413" s="221"/>
      <c r="N413" s="221"/>
      <c r="O413" s="221"/>
      <c r="P413" s="184"/>
      <c r="Q413" s="184"/>
      <c r="W413" s="184" t="s">
        <v>21</v>
      </c>
      <c r="Z413" s="184" t="s">
        <v>355</v>
      </c>
    </row>
    <row r="414" spans="1:26" x14ac:dyDescent="0.25">
      <c r="A414" s="184"/>
      <c r="B414" s="184"/>
      <c r="C414" s="212"/>
      <c r="D414" s="212"/>
      <c r="E414" s="222"/>
      <c r="F414" s="222"/>
      <c r="G414" s="221"/>
      <c r="H414" s="226"/>
      <c r="I414" s="221"/>
      <c r="J414" s="221"/>
      <c r="K414" s="221"/>
      <c r="L414" s="221"/>
      <c r="M414" s="221"/>
      <c r="N414" s="221"/>
      <c r="O414" s="221"/>
      <c r="P414" s="184"/>
      <c r="Q414" s="184"/>
    </row>
    <row r="415" spans="1:26" ht="13.8" thickBot="1" x14ac:dyDescent="0.3">
      <c r="A415" s="184"/>
      <c r="B415" s="260" t="s">
        <v>356</v>
      </c>
      <c r="C415" s="228">
        <f>SUM(C407:C414)</f>
        <v>91400000</v>
      </c>
      <c r="D415" s="228">
        <f t="shared" ref="D415:O415" si="105">SUM(D407:D414)</f>
        <v>-2498684.27</v>
      </c>
      <c r="E415" s="228">
        <f t="shared" si="105"/>
        <v>0</v>
      </c>
      <c r="F415" s="228">
        <f t="shared" si="105"/>
        <v>88811266.109999999</v>
      </c>
      <c r="G415" s="228">
        <f t="shared" si="105"/>
        <v>90049.619999990522</v>
      </c>
      <c r="H415" s="228">
        <f t="shared" si="105"/>
        <v>13853.66</v>
      </c>
      <c r="I415" s="228">
        <f t="shared" si="105"/>
        <v>0</v>
      </c>
      <c r="J415" s="228">
        <f t="shared" si="105"/>
        <v>0</v>
      </c>
      <c r="K415" s="228">
        <f t="shared" si="105"/>
        <v>0</v>
      </c>
      <c r="L415" s="228">
        <f t="shared" si="105"/>
        <v>76195.959999990519</v>
      </c>
      <c r="M415" s="228">
        <f t="shared" si="105"/>
        <v>13853.66</v>
      </c>
      <c r="N415" s="228">
        <f t="shared" si="105"/>
        <v>0</v>
      </c>
      <c r="O415" s="228">
        <f t="shared" si="105"/>
        <v>0</v>
      </c>
      <c r="P415" s="195">
        <f>C415+D415+E415-F415-G415</f>
        <v>1.4246325008571148E-8</v>
      </c>
      <c r="Q415" s="184"/>
      <c r="W415" s="224"/>
      <c r="X415" s="184"/>
      <c r="Y415" s="184"/>
    </row>
    <row r="416" spans="1:26" ht="13.8" thickTop="1" x14ac:dyDescent="0.25">
      <c r="A416" s="184"/>
      <c r="B416" s="184"/>
      <c r="C416" s="212"/>
      <c r="D416" s="212"/>
      <c r="E416" s="222"/>
      <c r="F416" s="263"/>
      <c r="G416" s="221"/>
      <c r="H416" s="226"/>
      <c r="I416" s="221"/>
      <c r="J416" s="221"/>
      <c r="K416" s="221"/>
      <c r="L416" s="221"/>
      <c r="M416" s="221"/>
      <c r="N416" s="221"/>
      <c r="O416" s="221"/>
      <c r="P416" s="184"/>
      <c r="Q416" s="184"/>
    </row>
    <row r="417" spans="1:26" x14ac:dyDescent="0.25">
      <c r="A417" s="224" t="s">
        <v>357</v>
      </c>
      <c r="B417" s="184"/>
      <c r="C417" s="212"/>
      <c r="D417" s="212"/>
      <c r="E417" s="222"/>
      <c r="F417" s="196"/>
      <c r="G417" s="221"/>
      <c r="H417" s="226"/>
      <c r="I417" s="221"/>
      <c r="J417" s="221"/>
      <c r="K417" s="221"/>
      <c r="L417" s="221"/>
      <c r="M417" s="221"/>
      <c r="N417" s="221"/>
      <c r="O417" s="221"/>
      <c r="P417" s="184"/>
      <c r="Q417" s="184"/>
    </row>
    <row r="418" spans="1:26" x14ac:dyDescent="0.25">
      <c r="A418" s="184"/>
      <c r="B418" s="184" t="s">
        <v>358</v>
      </c>
      <c r="C418" s="212">
        <v>10300000</v>
      </c>
      <c r="D418" s="212">
        <v>-608858.49</v>
      </c>
      <c r="E418" s="222"/>
      <c r="F418" s="222">
        <f>128951.48+1603673.83+7826920.79+98949.18+32646.23</f>
        <v>9691141.5099999998</v>
      </c>
      <c r="G418" s="221">
        <v>-3.2596290111541748E-9</v>
      </c>
      <c r="H418" s="226">
        <v>0</v>
      </c>
      <c r="I418" s="221">
        <f>[5]UMCP!I356</f>
        <v>0</v>
      </c>
      <c r="J418" s="221">
        <f>[5]UMCP!J356</f>
        <v>0</v>
      </c>
      <c r="K418" s="221">
        <f>[5]UMCP!K356</f>
        <v>0</v>
      </c>
      <c r="L418" s="221">
        <f>G418-H418-I418-J418-K418</f>
        <v>-3.2596290111541748E-9</v>
      </c>
      <c r="M418" s="221">
        <f>H418-N418-O418</f>
        <v>0</v>
      </c>
      <c r="N418" s="221">
        <v>0</v>
      </c>
      <c r="O418" s="221">
        <v>0</v>
      </c>
      <c r="P418" s="195">
        <f>C418+D418+E418-F418-G418</f>
        <v>3.2596290111541748E-9</v>
      </c>
      <c r="Q418" s="184"/>
      <c r="S418" s="184" t="s">
        <v>343</v>
      </c>
      <c r="T418" s="184" t="s">
        <v>343</v>
      </c>
      <c r="U418" s="184">
        <v>20</v>
      </c>
      <c r="V418" s="184" t="s">
        <v>46</v>
      </c>
      <c r="W418" s="184" t="s">
        <v>11</v>
      </c>
      <c r="X418" s="297">
        <f>H418</f>
        <v>0</v>
      </c>
      <c r="Y418" s="297">
        <f>L418</f>
        <v>-3.2596290111541748E-9</v>
      </c>
      <c r="Z418" s="184" t="s">
        <v>358</v>
      </c>
    </row>
    <row r="419" spans="1:26" x14ac:dyDescent="0.25">
      <c r="A419" s="184"/>
      <c r="B419" s="184" t="s">
        <v>353</v>
      </c>
      <c r="C419" s="225">
        <v>31600000</v>
      </c>
      <c r="D419" s="212"/>
      <c r="E419" s="222"/>
      <c r="F419" s="221">
        <f>30939995.52+660004.48</f>
        <v>31600000</v>
      </c>
      <c r="G419" s="221">
        <v>0</v>
      </c>
      <c r="H419" s="226">
        <v>0</v>
      </c>
      <c r="I419" s="221">
        <v>0</v>
      </c>
      <c r="J419" s="221">
        <v>0</v>
      </c>
      <c r="K419" s="221">
        <v>0</v>
      </c>
      <c r="L419" s="221">
        <f>G419-H419-I419-J419-K419</f>
        <v>0</v>
      </c>
      <c r="M419" s="221">
        <f>H419-N419-O419</f>
        <v>0</v>
      </c>
      <c r="N419" s="221">
        <v>0</v>
      </c>
      <c r="O419" s="221">
        <v>0</v>
      </c>
      <c r="P419" s="195">
        <f>C419+D419+E419-F419-G419</f>
        <v>0</v>
      </c>
      <c r="Q419" s="184"/>
      <c r="S419" s="184" t="s">
        <v>343</v>
      </c>
      <c r="T419" s="184" t="s">
        <v>343</v>
      </c>
      <c r="W419" s="184" t="s">
        <v>15</v>
      </c>
      <c r="X419" s="297">
        <f>H419</f>
        <v>0</v>
      </c>
      <c r="Y419" s="297">
        <f>L419</f>
        <v>0</v>
      </c>
      <c r="Z419" s="184" t="s">
        <v>353</v>
      </c>
    </row>
    <row r="420" spans="1:26" x14ac:dyDescent="0.25">
      <c r="A420" s="184"/>
      <c r="B420" s="184" t="s">
        <v>335</v>
      </c>
      <c r="C420" s="212">
        <v>8670000</v>
      </c>
      <c r="D420" s="212"/>
      <c r="E420" s="222"/>
      <c r="F420" s="221">
        <f>4886174.55+2710737.4+583070.54+490017.51</f>
        <v>8670000</v>
      </c>
      <c r="G420" s="221">
        <v>0</v>
      </c>
      <c r="H420" s="226">
        <v>0</v>
      </c>
      <c r="I420" s="221">
        <f>[5]TU!I694</f>
        <v>0</v>
      </c>
      <c r="J420" s="221">
        <f>[5]TU!J694</f>
        <v>0</v>
      </c>
      <c r="K420" s="221">
        <f>[5]TU!K694</f>
        <v>0</v>
      </c>
      <c r="L420" s="221">
        <f>G420-H420-I420-J420-K420</f>
        <v>0</v>
      </c>
      <c r="M420" s="221">
        <f>H420-N420-O420</f>
        <v>0</v>
      </c>
      <c r="N420" s="221">
        <v>0</v>
      </c>
      <c r="O420" s="221">
        <v>0</v>
      </c>
      <c r="P420" s="195">
        <f>C420+D420+E420-F420-G420</f>
        <v>0</v>
      </c>
      <c r="Q420" s="184"/>
      <c r="S420" s="184" t="s">
        <v>343</v>
      </c>
      <c r="T420" s="184" t="s">
        <v>343</v>
      </c>
      <c r="U420" s="184">
        <v>20</v>
      </c>
      <c r="V420" s="184" t="s">
        <v>46</v>
      </c>
      <c r="W420" s="184" t="s">
        <v>21</v>
      </c>
      <c r="X420" s="297">
        <f>H420</f>
        <v>0</v>
      </c>
      <c r="Y420" s="297">
        <f>L420</f>
        <v>0</v>
      </c>
      <c r="Z420" s="184" t="s">
        <v>335</v>
      </c>
    </row>
    <row r="421" spans="1:26" x14ac:dyDescent="0.25">
      <c r="A421" s="184"/>
      <c r="B421" s="184" t="s">
        <v>355</v>
      </c>
      <c r="C421" s="212">
        <v>19600000</v>
      </c>
      <c r="D421" s="212">
        <v>-1918.62</v>
      </c>
      <c r="E421" s="222"/>
      <c r="F421" s="223">
        <f>511240.72+19085910.06+930.6</f>
        <v>19598081.379999999</v>
      </c>
      <c r="G421" s="221">
        <v>2.5333974917884916E-9</v>
      </c>
      <c r="H421" s="226">
        <v>0</v>
      </c>
      <c r="I421" s="221">
        <f>[5]TU!I547</f>
        <v>0</v>
      </c>
      <c r="J421" s="221">
        <f>[5]TU!J547</f>
        <v>0</v>
      </c>
      <c r="K421" s="221">
        <f>[5]TU!K547</f>
        <v>0</v>
      </c>
      <c r="L421" s="221">
        <f>G421-H421-I421-J421-K421</f>
        <v>2.5333974917884916E-9</v>
      </c>
      <c r="M421" s="221">
        <f>H421-N421-O421</f>
        <v>0</v>
      </c>
      <c r="N421" s="221">
        <v>0</v>
      </c>
      <c r="O421" s="221">
        <v>0</v>
      </c>
      <c r="P421" s="195">
        <f>C421+D421+E421-F421-G421</f>
        <v>-2.5333974917884916E-9</v>
      </c>
      <c r="Q421" s="184"/>
      <c r="S421" s="184" t="s">
        <v>343</v>
      </c>
      <c r="T421" s="184" t="s">
        <v>343</v>
      </c>
      <c r="U421" s="184">
        <v>20</v>
      </c>
      <c r="V421" s="184" t="s">
        <v>46</v>
      </c>
      <c r="W421" s="184" t="s">
        <v>21</v>
      </c>
      <c r="X421" s="297">
        <f>H421</f>
        <v>0</v>
      </c>
      <c r="Y421" s="297">
        <f>L421</f>
        <v>2.5333974917884916E-9</v>
      </c>
      <c r="Z421" s="184" t="s">
        <v>355</v>
      </c>
    </row>
    <row r="422" spans="1:26" x14ac:dyDescent="0.25">
      <c r="A422" s="184"/>
      <c r="B422" s="184"/>
      <c r="C422" s="212"/>
      <c r="D422" s="212"/>
      <c r="E422" s="222"/>
      <c r="F422" s="222"/>
      <c r="G422" s="221"/>
      <c r="H422" s="226"/>
      <c r="I422" s="221"/>
      <c r="J422" s="221"/>
      <c r="K422" s="221"/>
      <c r="L422" s="221"/>
      <c r="M422" s="221"/>
      <c r="N422" s="221"/>
      <c r="O422" s="221"/>
      <c r="P422" s="184"/>
      <c r="Q422" s="184"/>
    </row>
    <row r="423" spans="1:26" ht="13.8" thickBot="1" x14ac:dyDescent="0.3">
      <c r="A423" s="184"/>
      <c r="B423" s="260" t="s">
        <v>359</v>
      </c>
      <c r="C423" s="252">
        <f t="shared" ref="C423:J423" si="106">SUM(C418:C422)</f>
        <v>70170000</v>
      </c>
      <c r="D423" s="252">
        <f t="shared" si="106"/>
        <v>-610777.11</v>
      </c>
      <c r="E423" s="252">
        <f t="shared" si="106"/>
        <v>0</v>
      </c>
      <c r="F423" s="252">
        <f t="shared" si="106"/>
        <v>69559222.890000001</v>
      </c>
      <c r="G423" s="252">
        <f t="shared" si="106"/>
        <v>-7.262315193656832E-10</v>
      </c>
      <c r="H423" s="252">
        <f>SUM(H418:H422)</f>
        <v>0</v>
      </c>
      <c r="I423" s="252">
        <f t="shared" si="106"/>
        <v>0</v>
      </c>
      <c r="J423" s="252">
        <f t="shared" si="106"/>
        <v>0</v>
      </c>
      <c r="K423" s="252">
        <f>SUM(K418:K422)</f>
        <v>0</v>
      </c>
      <c r="L423" s="252">
        <f>SUM(L418:L422)</f>
        <v>-7.262315193656832E-10</v>
      </c>
      <c r="M423" s="252">
        <f>SUM(M418:M422)</f>
        <v>0</v>
      </c>
      <c r="N423" s="252">
        <f>SUM(N418:N422)</f>
        <v>0</v>
      </c>
      <c r="O423" s="252">
        <f>SUM(O418:O422)</f>
        <v>0</v>
      </c>
      <c r="P423" s="195">
        <f>C423+D423+E423-F423-G423</f>
        <v>7.262315193656832E-10</v>
      </c>
      <c r="Q423" s="184"/>
      <c r="W423" s="224"/>
      <c r="X423" s="184"/>
      <c r="Y423" s="184"/>
    </row>
    <row r="424" spans="1:26" ht="13.8" thickTop="1" x14ac:dyDescent="0.25">
      <c r="A424" s="184"/>
      <c r="B424" s="184"/>
      <c r="C424" s="212"/>
      <c r="D424" s="212"/>
      <c r="E424" s="222"/>
      <c r="F424" s="263"/>
      <c r="G424" s="221"/>
      <c r="H424" s="226"/>
      <c r="I424" s="221"/>
      <c r="J424" s="221"/>
      <c r="K424" s="221"/>
      <c r="L424" s="221"/>
      <c r="M424" s="221"/>
      <c r="N424" s="221"/>
      <c r="O424" s="221"/>
      <c r="P424" s="184"/>
      <c r="Q424" s="184"/>
    </row>
    <row r="425" spans="1:26" x14ac:dyDescent="0.25">
      <c r="A425" s="224" t="s">
        <v>360</v>
      </c>
      <c r="B425" s="184"/>
      <c r="C425" s="212"/>
      <c r="D425" s="212"/>
      <c r="E425" s="222"/>
      <c r="F425" s="222"/>
      <c r="G425" s="221"/>
      <c r="H425" s="226"/>
      <c r="I425" s="221"/>
      <c r="J425" s="221"/>
      <c r="K425" s="221"/>
      <c r="L425" s="221"/>
      <c r="M425" s="221"/>
      <c r="N425" s="221"/>
      <c r="O425" s="221"/>
      <c r="P425" s="184"/>
      <c r="Q425" s="184"/>
    </row>
    <row r="426" spans="1:26" x14ac:dyDescent="0.25">
      <c r="A426" s="184"/>
      <c r="B426" s="184" t="s">
        <v>361</v>
      </c>
      <c r="C426" s="212">
        <v>800000</v>
      </c>
      <c r="D426" s="212"/>
      <c r="E426" s="222"/>
      <c r="F426" s="222"/>
      <c r="G426" s="221">
        <v>800000</v>
      </c>
      <c r="H426" s="226">
        <v>0</v>
      </c>
      <c r="I426" s="221">
        <f>[5]UMES!I219</f>
        <v>0</v>
      </c>
      <c r="J426" s="221">
        <f>[5]UMES!J219</f>
        <v>0</v>
      </c>
      <c r="K426" s="221">
        <f>[5]UMES!K219</f>
        <v>0</v>
      </c>
      <c r="L426" s="221">
        <f t="shared" ref="L426:L431" si="107">G426-H426-I426-J426-K426</f>
        <v>800000</v>
      </c>
      <c r="M426" s="221"/>
      <c r="N426" s="221"/>
      <c r="O426" s="221">
        <f>H424+K424</f>
        <v>0</v>
      </c>
      <c r="P426" s="184"/>
      <c r="Q426" s="184"/>
      <c r="S426" s="184" t="s">
        <v>343</v>
      </c>
      <c r="T426" s="184" t="s">
        <v>343</v>
      </c>
      <c r="U426" s="184">
        <v>20</v>
      </c>
      <c r="V426" s="184" t="s">
        <v>102</v>
      </c>
      <c r="W426" s="184" t="s">
        <v>14</v>
      </c>
      <c r="X426" s="297">
        <f>H426</f>
        <v>0</v>
      </c>
      <c r="Y426" s="297">
        <f>L426</f>
        <v>800000</v>
      </c>
      <c r="Z426" s="184" t="s">
        <v>361</v>
      </c>
    </row>
    <row r="427" spans="1:26" x14ac:dyDescent="0.25">
      <c r="A427" s="184"/>
      <c r="B427" s="184" t="s">
        <v>353</v>
      </c>
      <c r="C427" s="225">
        <v>18200000</v>
      </c>
      <c r="D427" s="212"/>
      <c r="E427" s="222"/>
      <c r="F427" s="222">
        <f>4717881.41+13482118.59</f>
        <v>18200000</v>
      </c>
      <c r="G427" s="221">
        <v>0</v>
      </c>
      <c r="H427" s="226">
        <v>0</v>
      </c>
      <c r="I427" s="221">
        <v>0</v>
      </c>
      <c r="J427" s="221">
        <v>0</v>
      </c>
      <c r="K427" s="221">
        <v>0</v>
      </c>
      <c r="L427" s="221">
        <f t="shared" si="107"/>
        <v>0</v>
      </c>
      <c r="M427" s="221"/>
      <c r="N427" s="221"/>
      <c r="O427" s="221">
        <f>H425+K425</f>
        <v>0</v>
      </c>
      <c r="P427" s="184"/>
      <c r="Q427" s="184"/>
      <c r="W427" s="184" t="s">
        <v>15</v>
      </c>
      <c r="Z427" s="184" t="s">
        <v>353</v>
      </c>
    </row>
    <row r="428" spans="1:26" x14ac:dyDescent="0.25">
      <c r="A428" s="184"/>
      <c r="B428" s="184" t="s">
        <v>362</v>
      </c>
      <c r="C428" s="212">
        <v>3900000</v>
      </c>
      <c r="D428" s="212">
        <v>-449464.43</v>
      </c>
      <c r="E428" s="222"/>
      <c r="F428" s="222">
        <f>3013034.52+437501.05</f>
        <v>3450535.57</v>
      </c>
      <c r="G428" s="221">
        <v>0</v>
      </c>
      <c r="H428" s="226">
        <v>0</v>
      </c>
      <c r="I428" s="221">
        <f>[5]UMBC!I180</f>
        <v>0</v>
      </c>
      <c r="J428" s="221">
        <f>[5]UMBC!J180</f>
        <v>0</v>
      </c>
      <c r="K428" s="221">
        <f>[5]UMBC!K180</f>
        <v>0</v>
      </c>
      <c r="L428" s="221">
        <f t="shared" si="107"/>
        <v>0</v>
      </c>
      <c r="M428" s="221">
        <f>H428-N428-O428</f>
        <v>0</v>
      </c>
      <c r="N428" s="221">
        <v>0</v>
      </c>
      <c r="O428" s="221">
        <v>0</v>
      </c>
      <c r="P428" s="195">
        <f>C428+D428+E428-F428-G428</f>
        <v>0</v>
      </c>
      <c r="Q428" s="184"/>
      <c r="S428" s="184" t="s">
        <v>343</v>
      </c>
      <c r="T428" s="184" t="s">
        <v>343</v>
      </c>
      <c r="U428" s="184">
        <v>20</v>
      </c>
      <c r="V428" s="184" t="s">
        <v>102</v>
      </c>
      <c r="W428" s="184" t="s">
        <v>15</v>
      </c>
      <c r="X428" s="297">
        <f>H428</f>
        <v>0</v>
      </c>
      <c r="Y428" s="297">
        <f>L428</f>
        <v>0</v>
      </c>
      <c r="Z428" s="184" t="s">
        <v>362</v>
      </c>
    </row>
    <row r="429" spans="1:26" x14ac:dyDescent="0.25">
      <c r="A429" s="184"/>
      <c r="B429" s="184" t="s">
        <v>355</v>
      </c>
      <c r="C429" s="212">
        <v>2960000</v>
      </c>
      <c r="D429" s="212"/>
      <c r="E429" s="222"/>
      <c r="F429" s="222">
        <f>21596+2036341.73+831056.51+60854.93+10150.83</f>
        <v>2960000.0000000005</v>
      </c>
      <c r="G429" s="221">
        <v>2.4192559067159891E-10</v>
      </c>
      <c r="H429" s="226">
        <v>0</v>
      </c>
      <c r="I429" s="221">
        <f>[5]TU!I561</f>
        <v>0</v>
      </c>
      <c r="J429" s="221">
        <f>[5]TU!J561</f>
        <v>0</v>
      </c>
      <c r="K429" s="221">
        <f>[5]TU!K561</f>
        <v>0</v>
      </c>
      <c r="L429" s="221">
        <f t="shared" si="107"/>
        <v>2.4192559067159891E-10</v>
      </c>
      <c r="M429" s="221">
        <f>H429-N429-O429</f>
        <v>0</v>
      </c>
      <c r="N429" s="221">
        <v>0</v>
      </c>
      <c r="O429" s="221">
        <v>0</v>
      </c>
      <c r="P429" s="195">
        <f>C429+D429+E429-F429-G429</f>
        <v>-7.0758687797933817E-10</v>
      </c>
      <c r="Q429" s="184"/>
      <c r="S429" s="184" t="s">
        <v>343</v>
      </c>
      <c r="T429" s="184" t="s">
        <v>343</v>
      </c>
      <c r="U429" s="184">
        <v>20</v>
      </c>
      <c r="V429" s="184" t="s">
        <v>102</v>
      </c>
      <c r="W429" s="184" t="s">
        <v>21</v>
      </c>
      <c r="X429" s="297">
        <f>H429</f>
        <v>0</v>
      </c>
      <c r="Y429" s="297">
        <f>L429</f>
        <v>2.4192559067159891E-10</v>
      </c>
      <c r="Z429" s="184" t="s">
        <v>355</v>
      </c>
    </row>
    <row r="430" spans="1:26" x14ac:dyDescent="0.25">
      <c r="A430" s="184"/>
      <c r="B430" s="184" t="s">
        <v>363</v>
      </c>
      <c r="C430" s="212">
        <v>16900000</v>
      </c>
      <c r="D430" s="212">
        <v>-6106.18</v>
      </c>
      <c r="E430" s="222"/>
      <c r="F430" s="222">
        <f>1348866.08+12676842.69+2868185.05</f>
        <v>16893893.82</v>
      </c>
      <c r="G430" s="221">
        <v>6.3300831243395805E-10</v>
      </c>
      <c r="H430" s="226">
        <v>0</v>
      </c>
      <c r="I430" s="221">
        <f>[5]TU!I460</f>
        <v>0</v>
      </c>
      <c r="J430" s="221">
        <f>[5]TU!J460</f>
        <v>0</v>
      </c>
      <c r="K430" s="221">
        <f>[5]TU!K460</f>
        <v>0</v>
      </c>
      <c r="L430" s="221">
        <f t="shared" si="107"/>
        <v>6.3300831243395805E-10</v>
      </c>
      <c r="M430" s="221">
        <f>H430-N430-O430</f>
        <v>0</v>
      </c>
      <c r="N430" s="221">
        <v>0</v>
      </c>
      <c r="O430" s="221">
        <v>0</v>
      </c>
      <c r="P430" s="195">
        <f>C430+D430+E430-F430-G430</f>
        <v>-6.3300831243395805E-10</v>
      </c>
      <c r="Q430" s="184"/>
      <c r="S430" s="184" t="s">
        <v>343</v>
      </c>
      <c r="T430" s="184" t="s">
        <v>343</v>
      </c>
      <c r="U430" s="184">
        <v>20</v>
      </c>
      <c r="V430" s="184" t="s">
        <v>102</v>
      </c>
      <c r="W430" s="184" t="s">
        <v>21</v>
      </c>
      <c r="X430" s="297">
        <f>H430</f>
        <v>0</v>
      </c>
      <c r="Y430" s="297">
        <f>L430</f>
        <v>6.3300831243395805E-10</v>
      </c>
      <c r="Z430" s="184" t="s">
        <v>363</v>
      </c>
    </row>
    <row r="431" spans="1:26" x14ac:dyDescent="0.25">
      <c r="A431" s="184"/>
      <c r="B431" s="184" t="s">
        <v>364</v>
      </c>
      <c r="C431" s="212">
        <v>4000000</v>
      </c>
      <c r="D431" s="212"/>
      <c r="E431" s="222"/>
      <c r="F431" s="222">
        <f>3795858.27+201586.7+2555.03</f>
        <v>4000000</v>
      </c>
      <c r="G431" s="221">
        <v>0</v>
      </c>
      <c r="H431" s="226">
        <v>0</v>
      </c>
      <c r="I431" s="221">
        <v>0</v>
      </c>
      <c r="J431" s="221">
        <v>0</v>
      </c>
      <c r="K431" s="221">
        <v>0</v>
      </c>
      <c r="L431" s="221">
        <f t="shared" si="107"/>
        <v>0</v>
      </c>
      <c r="M431" s="221"/>
      <c r="N431" s="221"/>
      <c r="O431" s="221">
        <f>H429+K429</f>
        <v>0</v>
      </c>
      <c r="P431" s="184"/>
      <c r="Q431" s="184"/>
    </row>
    <row r="432" spans="1:26" x14ac:dyDescent="0.25">
      <c r="A432" s="184"/>
      <c r="B432" s="184"/>
      <c r="C432" s="212"/>
      <c r="D432" s="212"/>
      <c r="E432" s="222"/>
      <c r="F432" s="222"/>
      <c r="G432" s="221"/>
      <c r="H432" s="226"/>
      <c r="I432" s="221"/>
      <c r="J432" s="221"/>
      <c r="K432" s="221"/>
      <c r="L432" s="221"/>
      <c r="M432" s="221"/>
      <c r="N432" s="221"/>
      <c r="O432" s="221"/>
      <c r="P432" s="184"/>
      <c r="Q432" s="184"/>
    </row>
    <row r="433" spans="1:29" ht="13.8" thickBot="1" x14ac:dyDescent="0.3">
      <c r="A433" s="184"/>
      <c r="B433" s="260" t="s">
        <v>365</v>
      </c>
      <c r="C433" s="228">
        <f t="shared" ref="C433:O433" si="108">SUM(C426:C432)</f>
        <v>46760000</v>
      </c>
      <c r="D433" s="228">
        <f t="shared" si="108"/>
        <v>-455570.61</v>
      </c>
      <c r="E433" s="228">
        <f t="shared" si="108"/>
        <v>0</v>
      </c>
      <c r="F433" s="251">
        <f t="shared" si="108"/>
        <v>45504429.390000001</v>
      </c>
      <c r="G433" s="228">
        <f t="shared" si="108"/>
        <v>800000.00000000081</v>
      </c>
      <c r="H433" s="252">
        <f>SUM(H426:H432)</f>
        <v>0</v>
      </c>
      <c r="I433" s="228">
        <f t="shared" si="108"/>
        <v>0</v>
      </c>
      <c r="J433" s="228">
        <f t="shared" si="108"/>
        <v>0</v>
      </c>
      <c r="K433" s="228">
        <f t="shared" si="108"/>
        <v>0</v>
      </c>
      <c r="L433" s="228">
        <f>SUM(L426:L432)</f>
        <v>800000.00000000081</v>
      </c>
      <c r="M433" s="228">
        <f>SUM(M426:M432)</f>
        <v>0</v>
      </c>
      <c r="N433" s="228">
        <f t="shared" si="108"/>
        <v>0</v>
      </c>
      <c r="O433" s="228">
        <f t="shared" si="108"/>
        <v>0</v>
      </c>
      <c r="P433" s="195">
        <f>C433+D433+E433-F433-G433</f>
        <v>0</v>
      </c>
      <c r="Q433" s="184"/>
    </row>
    <row r="434" spans="1:29" ht="13.8" thickTop="1" x14ac:dyDescent="0.25">
      <c r="A434" s="184"/>
      <c r="B434" s="264"/>
      <c r="C434" s="265"/>
      <c r="D434" s="265"/>
      <c r="E434" s="265"/>
      <c r="F434" s="266"/>
      <c r="G434" s="265"/>
      <c r="H434" s="267"/>
      <c r="I434" s="265"/>
      <c r="J434" s="265"/>
      <c r="K434" s="265"/>
      <c r="L434" s="265"/>
      <c r="M434" s="265"/>
      <c r="N434" s="265"/>
      <c r="O434" s="265"/>
      <c r="P434" s="184"/>
      <c r="Q434" s="184"/>
    </row>
    <row r="435" spans="1:29" x14ac:dyDescent="0.25">
      <c r="A435" s="184"/>
      <c r="B435" s="258" t="s">
        <v>366</v>
      </c>
      <c r="C435" s="268">
        <f t="shared" ref="C435:H435" si="109">C355+C362+C368+C377+C383+C395+C404+C415+C423+C433+C349+C342</f>
        <v>679015430</v>
      </c>
      <c r="D435" s="268">
        <f t="shared" si="109"/>
        <v>-96056835.36999999</v>
      </c>
      <c r="E435" s="268">
        <f t="shared" si="109"/>
        <v>0</v>
      </c>
      <c r="F435" s="268">
        <f>F355+F362+F368+F377+F383+F395+F404+F415+F423+F433+F349+F342</f>
        <v>461915625.58999997</v>
      </c>
      <c r="G435" s="268">
        <f t="shared" si="109"/>
        <v>121042969.03999999</v>
      </c>
      <c r="H435" s="268">
        <f t="shared" si="109"/>
        <v>61467251.390000015</v>
      </c>
      <c r="I435" s="268">
        <f>I355+I362+I368+I377+I383+I395+I404+I415+I423+I433+I349</f>
        <v>0</v>
      </c>
      <c r="J435" s="268">
        <f t="shared" ref="J435:O435" si="110">J355+J362+J368+J377+J383+J395+J404+J415+J423+J433+J349+J342</f>
        <v>0</v>
      </c>
      <c r="K435" s="268">
        <f t="shared" si="110"/>
        <v>0</v>
      </c>
      <c r="L435" s="268">
        <f>L355+L362+L368+L377+L383+L395+L404+L415+L423+L433+L349+L342</f>
        <v>59575717.649999976</v>
      </c>
      <c r="M435" s="268">
        <f>M355+M362+M368+M377+M383+M395+M404+M415+M423+M433+M349+M342</f>
        <v>10138194.530000005</v>
      </c>
      <c r="N435" s="268">
        <f t="shared" si="110"/>
        <v>4464071.6900000069</v>
      </c>
      <c r="O435" s="268">
        <f t="shared" si="110"/>
        <v>46864985.170000002</v>
      </c>
      <c r="P435" s="195">
        <f>C435+D435+E435-F435-G435</f>
        <v>0</v>
      </c>
      <c r="Q435" s="184"/>
    </row>
    <row r="436" spans="1:29" x14ac:dyDescent="0.25">
      <c r="A436" s="184"/>
      <c r="B436" s="224"/>
      <c r="C436" s="212"/>
      <c r="D436" s="212"/>
      <c r="E436" s="212"/>
      <c r="F436" s="221"/>
      <c r="G436" s="212"/>
      <c r="H436" s="225"/>
      <c r="I436" s="212"/>
      <c r="J436" s="212"/>
      <c r="K436" s="212"/>
      <c r="L436" s="212"/>
      <c r="M436" s="212"/>
      <c r="N436" s="212"/>
      <c r="O436" s="212"/>
      <c r="P436" s="184"/>
      <c r="Q436" s="184"/>
    </row>
    <row r="437" spans="1:29" x14ac:dyDescent="0.25">
      <c r="A437" s="184"/>
      <c r="B437" s="184" t="s">
        <v>368</v>
      </c>
      <c r="C437" s="185"/>
      <c r="D437" s="185">
        <f>G437</f>
        <v>399504.25</v>
      </c>
      <c r="E437" s="185"/>
      <c r="F437" s="221"/>
      <c r="G437" s="196">
        <f>H437+J437</f>
        <v>399504.25</v>
      </c>
      <c r="H437" s="269">
        <f>'[5]USM &amp; COI'!H135</f>
        <v>337504.25</v>
      </c>
      <c r="I437" s="196"/>
      <c r="J437" s="196">
        <f>'[5]USM &amp; COI'!J135</f>
        <v>62000</v>
      </c>
      <c r="K437" s="196"/>
      <c r="L437" s="221">
        <f>G437-H437-I437-J437-K437</f>
        <v>0</v>
      </c>
      <c r="M437" s="221">
        <f>H437-N437-O437+J437</f>
        <v>44500</v>
      </c>
      <c r="N437" s="221">
        <v>40000</v>
      </c>
      <c r="O437" s="221">
        <v>315004.25</v>
      </c>
      <c r="P437" s="184"/>
      <c r="Q437" s="184"/>
    </row>
    <row r="438" spans="1:29" x14ac:dyDescent="0.25">
      <c r="A438" s="184"/>
      <c r="B438" s="184"/>
      <c r="C438" s="185"/>
      <c r="D438" s="185"/>
      <c r="E438" s="185"/>
      <c r="F438" s="221"/>
      <c r="G438" s="196"/>
      <c r="H438" s="269"/>
      <c r="I438" s="196"/>
      <c r="J438" s="196"/>
      <c r="K438" s="196"/>
      <c r="L438" s="221"/>
      <c r="M438" s="221"/>
      <c r="N438" s="221"/>
      <c r="O438" s="221"/>
      <c r="P438" s="184"/>
      <c r="Q438" s="184"/>
    </row>
    <row r="439" spans="1:29" x14ac:dyDescent="0.25">
      <c r="A439" s="184"/>
      <c r="B439" s="184"/>
      <c r="C439" s="185"/>
      <c r="D439" s="185"/>
      <c r="E439" s="185"/>
      <c r="F439" s="221"/>
      <c r="G439" s="196"/>
      <c r="H439" s="269"/>
      <c r="I439" s="196"/>
      <c r="J439" s="196"/>
      <c r="K439" s="196"/>
      <c r="L439" s="221"/>
      <c r="M439" s="221"/>
      <c r="N439" s="221"/>
      <c r="O439" s="221"/>
      <c r="P439" s="184"/>
      <c r="Q439" s="184"/>
    </row>
    <row r="440" spans="1:29" ht="13.8" thickBot="1" x14ac:dyDescent="0.3">
      <c r="A440" s="194"/>
      <c r="B440" s="270" t="s">
        <v>370</v>
      </c>
      <c r="C440" s="271">
        <f t="shared" ref="C440:K440" si="111">C336+C435+C437</f>
        <v>1195183533</v>
      </c>
      <c r="D440" s="271">
        <f t="shared" si="111"/>
        <v>-109494267.32999998</v>
      </c>
      <c r="E440" s="271">
        <f t="shared" si="111"/>
        <v>1651730.79</v>
      </c>
      <c r="F440" s="271">
        <f t="shared" si="111"/>
        <v>836280287.15999997</v>
      </c>
      <c r="G440" s="271">
        <f t="shared" si="111"/>
        <v>251060709.29699996</v>
      </c>
      <c r="H440" s="271">
        <f>H336+H435+H437</f>
        <v>115530227.90000001</v>
      </c>
      <c r="I440" s="271">
        <f t="shared" si="111"/>
        <v>0</v>
      </c>
      <c r="J440" s="271">
        <f t="shared" si="111"/>
        <v>62000</v>
      </c>
      <c r="K440" s="271">
        <f t="shared" si="111"/>
        <v>0</v>
      </c>
      <c r="L440" s="271">
        <f>L336+L435+L437</f>
        <v>135468481.39699996</v>
      </c>
      <c r="M440" s="271">
        <f>M336+M435+M437</f>
        <v>30365100.060000002</v>
      </c>
      <c r="N440" s="271">
        <f>N336+N435+N437</f>
        <v>24736684.720000006</v>
      </c>
      <c r="O440" s="271">
        <f>O336+O435+O437</f>
        <v>60490443.120000005</v>
      </c>
      <c r="P440" s="195">
        <f>C440+D440+E440-F440-G440</f>
        <v>3.000110387802124E-3</v>
      </c>
      <c r="Q440" s="194"/>
      <c r="S440" s="194"/>
      <c r="T440" s="194"/>
      <c r="U440" s="194"/>
      <c r="V440" s="194"/>
      <c r="W440" s="194"/>
      <c r="Z440" s="194"/>
      <c r="AA440" s="194"/>
      <c r="AB440" s="194"/>
      <c r="AC440" s="194"/>
    </row>
    <row r="441" spans="1:29" ht="13.8" thickTop="1" x14ac:dyDescent="0.25">
      <c r="A441" s="184"/>
      <c r="B441" s="184" t="s">
        <v>372</v>
      </c>
      <c r="C441" s="269">
        <f>50139503+40000000+25000000</f>
        <v>115139503</v>
      </c>
      <c r="D441" s="185"/>
      <c r="E441" s="185"/>
      <c r="F441" s="273"/>
      <c r="G441" s="196"/>
      <c r="H441" s="186">
        <v>0</v>
      </c>
      <c r="I441" s="221"/>
      <c r="J441" s="274">
        <v>0</v>
      </c>
      <c r="K441" s="185"/>
      <c r="L441" s="196"/>
      <c r="M441" s="196"/>
      <c r="N441" s="196"/>
      <c r="O441" s="196"/>
      <c r="P441" s="195">
        <f>H440+J440+-M440-N440-O440+I440</f>
        <v>-7.4505805969238281E-9</v>
      </c>
      <c r="Q441" s="184"/>
    </row>
    <row r="442" spans="1:29" x14ac:dyDescent="0.25">
      <c r="A442" s="184"/>
      <c r="B442" s="254" t="s">
        <v>373</v>
      </c>
      <c r="C442" s="269">
        <f>C443+C444+C445</f>
        <v>-53220.65000000596</v>
      </c>
      <c r="D442" s="275"/>
      <c r="E442" s="275"/>
      <c r="F442" s="273"/>
      <c r="G442" s="195" t="s">
        <v>374</v>
      </c>
      <c r="H442" s="230">
        <f>H443-H441</f>
        <v>1941039.9600000004</v>
      </c>
      <c r="I442" s="274"/>
      <c r="J442" s="194">
        <f>J443-J441</f>
        <v>29000</v>
      </c>
      <c r="K442" s="185"/>
      <c r="L442" s="276" t="s">
        <v>375</v>
      </c>
      <c r="M442" s="276"/>
      <c r="N442" s="333"/>
      <c r="O442" s="196"/>
      <c r="P442" s="184"/>
      <c r="Q442" s="184"/>
    </row>
    <row r="443" spans="1:29" x14ac:dyDescent="0.25">
      <c r="A443" s="184"/>
      <c r="B443" s="184" t="s">
        <v>376</v>
      </c>
      <c r="C443" s="277">
        <f>25000000-C447</f>
        <v>0</v>
      </c>
      <c r="D443" s="194"/>
      <c r="E443" s="194"/>
      <c r="F443" s="184"/>
      <c r="G443" s="278"/>
      <c r="H443" s="194">
        <v>1941039.9600000004</v>
      </c>
      <c r="I443" s="194"/>
      <c r="J443" s="255">
        <v>29000</v>
      </c>
      <c r="K443" s="185"/>
      <c r="L443" s="196"/>
      <c r="M443" s="196"/>
      <c r="N443" s="333"/>
      <c r="O443" s="196"/>
      <c r="P443" s="184"/>
      <c r="Q443" s="184"/>
    </row>
    <row r="444" spans="1:29" x14ac:dyDescent="0.25">
      <c r="A444" s="184"/>
      <c r="B444" s="184" t="s">
        <v>377</v>
      </c>
      <c r="C444" s="255">
        <f>40000000-C448</f>
        <v>-53220.819999992847</v>
      </c>
      <c r="D444" s="194"/>
      <c r="E444" s="194"/>
      <c r="F444" s="273"/>
      <c r="G444" s="278" t="s">
        <v>378</v>
      </c>
      <c r="H444" s="230">
        <f>H445-H443</f>
        <v>42700510.449999996</v>
      </c>
      <c r="I444" s="194"/>
      <c r="J444" s="194">
        <f>J445-J443</f>
        <v>1500</v>
      </c>
      <c r="K444" s="185"/>
      <c r="L444" s="276" t="s">
        <v>379</v>
      </c>
      <c r="M444" s="276"/>
      <c r="N444" s="334"/>
      <c r="O444" s="196"/>
      <c r="P444" s="184"/>
      <c r="Q444" s="184"/>
    </row>
    <row r="445" spans="1:29" x14ac:dyDescent="0.25">
      <c r="A445" s="184"/>
      <c r="B445" s="184" t="s">
        <v>380</v>
      </c>
      <c r="C445" s="185">
        <f>50139503-C449</f>
        <v>0.16999998688697815</v>
      </c>
      <c r="D445" s="194"/>
      <c r="E445" s="194"/>
      <c r="F445" s="273"/>
      <c r="G445" s="276"/>
      <c r="H445" s="255">
        <v>44641550.409999996</v>
      </c>
      <c r="I445" s="194"/>
      <c r="J445" s="255">
        <v>30500</v>
      </c>
      <c r="K445" s="185"/>
      <c r="L445" s="196"/>
      <c r="M445" s="196"/>
      <c r="N445" s="196"/>
      <c r="O445" s="196"/>
      <c r="P445" s="184"/>
      <c r="Q445" s="184"/>
    </row>
    <row r="446" spans="1:29" x14ac:dyDescent="0.25">
      <c r="A446" s="184"/>
      <c r="B446" s="184"/>
      <c r="C446" s="185"/>
      <c r="D446" s="194"/>
      <c r="E446" s="194"/>
      <c r="F446" s="273"/>
      <c r="G446" s="278" t="s">
        <v>381</v>
      </c>
      <c r="H446" s="230">
        <f>H447-H445</f>
        <v>1784501.3800000027</v>
      </c>
      <c r="I446" s="194"/>
      <c r="J446" s="194">
        <f>J447-J445</f>
        <v>31500</v>
      </c>
      <c r="K446" s="185"/>
      <c r="L446" s="286" t="s">
        <v>523</v>
      </c>
      <c r="M446" s="196"/>
      <c r="N446" s="196"/>
      <c r="O446" s="196"/>
      <c r="P446" s="184"/>
      <c r="Q446" s="184"/>
    </row>
    <row r="447" spans="1:29" x14ac:dyDescent="0.25">
      <c r="A447" s="184"/>
      <c r="B447" s="184" t="s">
        <v>382</v>
      </c>
      <c r="C447" s="185">
        <f>H336-H50-H70-H71-H72-H79-H80-H81-H98-H99-H100-H102-H101-H122-H28-H29-H73-'[5]FR using 20-yr Bond'!H2-H7</f>
        <v>24999999.999999993</v>
      </c>
      <c r="D447" s="279"/>
      <c r="E447" s="185"/>
      <c r="F447" s="273"/>
      <c r="G447" s="280"/>
      <c r="H447" s="255">
        <v>46426051.789999999</v>
      </c>
      <c r="I447" s="281"/>
      <c r="J447" s="281">
        <v>62000</v>
      </c>
      <c r="K447" s="185"/>
      <c r="L447" s="196"/>
      <c r="M447" s="196"/>
      <c r="N447" s="196"/>
      <c r="O447" s="196"/>
      <c r="P447" s="184"/>
      <c r="Q447" s="184"/>
    </row>
    <row r="448" spans="1:29" x14ac:dyDescent="0.25">
      <c r="A448" s="184"/>
      <c r="B448" s="184" t="s">
        <v>383</v>
      </c>
      <c r="C448" s="185">
        <f>H440-H437-C447-C449</f>
        <v>40053220.819999993</v>
      </c>
      <c r="D448" s="185"/>
      <c r="E448" s="185"/>
      <c r="F448" s="196"/>
      <c r="G448" s="278" t="s">
        <v>384</v>
      </c>
      <c r="H448" s="230">
        <f>H449-H447</f>
        <v>409087.37000000477</v>
      </c>
      <c r="I448" s="185"/>
      <c r="J448" s="185"/>
      <c r="K448" s="185"/>
      <c r="L448" s="196"/>
      <c r="M448" s="196"/>
      <c r="N448" s="196"/>
      <c r="O448" s="196"/>
      <c r="P448" s="184"/>
      <c r="Q448" s="184"/>
    </row>
    <row r="449" spans="1:17" x14ac:dyDescent="0.25">
      <c r="A449" s="184"/>
      <c r="B449" s="184" t="s">
        <v>385</v>
      </c>
      <c r="C449" s="185">
        <f>H365+H366+H371+H372+H387</f>
        <v>50139502.830000013</v>
      </c>
      <c r="D449" s="185"/>
      <c r="E449" s="185"/>
      <c r="F449" s="196"/>
      <c r="G449" s="276"/>
      <c r="H449" s="186">
        <v>46835139.160000004</v>
      </c>
      <c r="I449" s="185"/>
      <c r="J449" s="185"/>
      <c r="K449" s="185"/>
      <c r="L449" s="196"/>
      <c r="M449" s="196"/>
      <c r="N449" s="196"/>
      <c r="O449" s="269"/>
      <c r="P449" s="184"/>
      <c r="Q449" s="184"/>
    </row>
    <row r="450" spans="1:17" x14ac:dyDescent="0.25">
      <c r="A450" s="184"/>
      <c r="B450" s="184"/>
      <c r="C450" s="185"/>
      <c r="D450" s="185"/>
      <c r="E450" s="185"/>
      <c r="F450" s="196"/>
      <c r="G450" s="278" t="s">
        <v>386</v>
      </c>
      <c r="H450" s="230">
        <f>H451-H449</f>
        <v>16157.25</v>
      </c>
      <c r="I450" s="185"/>
      <c r="J450" s="185"/>
      <c r="K450" s="185"/>
      <c r="L450" s="269"/>
      <c r="M450" s="269"/>
      <c r="N450" s="269"/>
      <c r="O450" s="269"/>
      <c r="P450" s="218"/>
      <c r="Q450" s="184"/>
    </row>
    <row r="451" spans="1:17" x14ac:dyDescent="0.25">
      <c r="A451" s="184"/>
      <c r="B451" s="186" t="s">
        <v>387</v>
      </c>
      <c r="C451" s="269" t="s">
        <v>388</v>
      </c>
      <c r="D451" s="185"/>
      <c r="E451" s="185"/>
      <c r="F451" s="196"/>
      <c r="G451" s="276"/>
      <c r="H451" s="186">
        <v>46851296.410000004</v>
      </c>
      <c r="I451" s="185"/>
      <c r="J451" s="185"/>
      <c r="K451" s="185"/>
      <c r="L451" s="196"/>
      <c r="M451" s="196"/>
      <c r="N451" s="196"/>
      <c r="O451" s="196"/>
      <c r="P451" s="282"/>
      <c r="Q451" s="184"/>
    </row>
    <row r="452" spans="1:17" x14ac:dyDescent="0.25">
      <c r="A452" s="184"/>
      <c r="B452" s="186" t="s">
        <v>389</v>
      </c>
      <c r="C452" s="269" t="s">
        <v>390</v>
      </c>
      <c r="D452" s="185"/>
      <c r="E452" s="185"/>
      <c r="F452" s="196"/>
      <c r="G452" s="278" t="s">
        <v>391</v>
      </c>
      <c r="H452" s="230">
        <f>H453-H451</f>
        <v>2592391.3299999908</v>
      </c>
      <c r="I452" s="185"/>
      <c r="J452" s="185"/>
      <c r="K452" s="185"/>
      <c r="L452" s="196"/>
      <c r="M452" s="196"/>
      <c r="N452" s="196"/>
      <c r="O452" s="196"/>
      <c r="P452" s="282"/>
      <c r="Q452" s="184"/>
    </row>
    <row r="453" spans="1:17" x14ac:dyDescent="0.25">
      <c r="A453" s="184"/>
      <c r="B453" s="184"/>
      <c r="C453" s="185"/>
      <c r="D453" s="185"/>
      <c r="E453" s="185"/>
      <c r="F453" s="196"/>
      <c r="G453" s="276"/>
      <c r="H453" s="186">
        <v>49443687.739999995</v>
      </c>
      <c r="I453" s="185"/>
      <c r="J453" s="185"/>
      <c r="K453" s="185"/>
      <c r="L453" s="196"/>
      <c r="M453" s="196"/>
      <c r="N453" s="196"/>
      <c r="O453" s="196"/>
      <c r="P453" s="282"/>
      <c r="Q453" s="184"/>
    </row>
    <row r="454" spans="1:17" x14ac:dyDescent="0.25">
      <c r="A454" s="184"/>
      <c r="B454" s="184"/>
      <c r="C454" s="185"/>
      <c r="D454" s="185"/>
      <c r="E454" s="185"/>
      <c r="F454" s="196"/>
      <c r="G454" s="278" t="s">
        <v>392</v>
      </c>
      <c r="H454" s="194">
        <f>H455-H453</f>
        <v>1625044.9700000063</v>
      </c>
      <c r="I454" s="185"/>
      <c r="J454" s="185"/>
      <c r="K454" s="185"/>
      <c r="L454" s="196"/>
      <c r="M454" s="196"/>
      <c r="N454" s="196"/>
      <c r="O454" s="196"/>
      <c r="P454" s="195"/>
      <c r="Q454" s="184"/>
    </row>
    <row r="455" spans="1:17" x14ac:dyDescent="0.25">
      <c r="A455" s="184"/>
      <c r="B455" s="184"/>
      <c r="C455" s="185"/>
      <c r="D455" s="185"/>
      <c r="E455" s="185"/>
      <c r="F455" s="196"/>
      <c r="G455" s="276"/>
      <c r="H455" s="186">
        <v>51068732.710000001</v>
      </c>
      <c r="I455" s="185"/>
      <c r="J455" s="185"/>
      <c r="K455" s="185"/>
      <c r="L455" s="196"/>
      <c r="M455" s="196"/>
      <c r="N455" s="196"/>
      <c r="O455" s="196"/>
      <c r="P455" s="218"/>
      <c r="Q455" s="184"/>
    </row>
    <row r="456" spans="1:17" x14ac:dyDescent="0.25">
      <c r="A456" s="184"/>
      <c r="B456" s="184"/>
      <c r="C456" s="185"/>
      <c r="D456" s="185"/>
      <c r="E456" s="185"/>
      <c r="F456" s="196"/>
      <c r="G456" s="278" t="s">
        <v>393</v>
      </c>
      <c r="H456" s="194">
        <f>H457-H455</f>
        <v>399330.03000000119</v>
      </c>
      <c r="I456" s="185"/>
      <c r="J456" s="185"/>
      <c r="K456" s="185"/>
      <c r="L456" s="196"/>
      <c r="M456" s="196"/>
      <c r="N456" s="196"/>
      <c r="O456" s="196"/>
      <c r="P456" s="184"/>
      <c r="Q456" s="184"/>
    </row>
    <row r="457" spans="1:17" x14ac:dyDescent="0.25">
      <c r="A457" s="184"/>
      <c r="B457" s="184"/>
      <c r="C457" s="185"/>
      <c r="D457" s="185"/>
      <c r="E457" s="185"/>
      <c r="F457" s="196"/>
      <c r="G457" s="276"/>
      <c r="H457" s="186">
        <v>51468062.740000002</v>
      </c>
      <c r="I457" s="185"/>
      <c r="J457" s="185"/>
      <c r="K457" s="185"/>
      <c r="L457" s="196"/>
      <c r="M457" s="196"/>
      <c r="N457" s="196"/>
      <c r="O457" s="196"/>
      <c r="P457" s="184"/>
      <c r="Q457" s="184"/>
    </row>
    <row r="458" spans="1:17" x14ac:dyDescent="0.25">
      <c r="A458" s="184"/>
      <c r="B458" s="184"/>
      <c r="C458" s="185"/>
      <c r="D458" s="185"/>
      <c r="E458" s="185"/>
      <c r="F458" s="196"/>
      <c r="G458" s="278" t="s">
        <v>394</v>
      </c>
      <c r="H458" s="194">
        <f>H459-H457</f>
        <v>851972.21999999881</v>
      </c>
      <c r="I458" s="185"/>
      <c r="J458" s="185"/>
      <c r="K458" s="185"/>
      <c r="L458" s="196"/>
      <c r="M458" s="196"/>
      <c r="N458" s="196"/>
      <c r="O458" s="196"/>
      <c r="P458" s="184"/>
      <c r="Q458" s="184"/>
    </row>
    <row r="459" spans="1:17" x14ac:dyDescent="0.25">
      <c r="A459" s="184"/>
      <c r="B459" s="184"/>
      <c r="C459" s="185"/>
      <c r="D459" s="185"/>
      <c r="E459" s="185"/>
      <c r="F459" s="196"/>
      <c r="G459" s="276"/>
      <c r="H459" s="186">
        <v>52320034.960000001</v>
      </c>
      <c r="I459" s="185"/>
      <c r="J459" s="185"/>
      <c r="K459" s="185"/>
      <c r="L459" s="196"/>
      <c r="M459" s="196"/>
      <c r="N459" s="196"/>
      <c r="O459" s="196"/>
      <c r="P459" s="184"/>
      <c r="Q459" s="184"/>
    </row>
    <row r="460" spans="1:17" x14ac:dyDescent="0.25">
      <c r="A460" s="184"/>
      <c r="B460" s="184"/>
      <c r="C460" s="185"/>
      <c r="D460" s="185"/>
      <c r="E460" s="185"/>
      <c r="F460" s="196"/>
      <c r="G460" s="278" t="s">
        <v>395</v>
      </c>
      <c r="H460" s="194">
        <f>H461-H459</f>
        <v>1078847.5300000012</v>
      </c>
      <c r="I460" s="185"/>
      <c r="J460" s="185"/>
      <c r="K460" s="185"/>
      <c r="L460" s="196"/>
      <c r="M460" s="196"/>
      <c r="N460" s="196"/>
      <c r="O460" s="196"/>
      <c r="P460" s="184"/>
      <c r="Q460" s="184"/>
    </row>
    <row r="461" spans="1:17" x14ac:dyDescent="0.25">
      <c r="A461" s="184"/>
      <c r="B461" s="184"/>
      <c r="C461" s="185"/>
      <c r="D461" s="185"/>
      <c r="E461" s="185"/>
      <c r="F461" s="196"/>
      <c r="G461" s="276"/>
      <c r="H461" s="186">
        <v>53398882.490000002</v>
      </c>
      <c r="I461" s="185"/>
      <c r="J461" s="185"/>
      <c r="K461" s="185"/>
      <c r="L461" s="196"/>
      <c r="M461" s="196"/>
      <c r="N461" s="196"/>
      <c r="O461" s="196"/>
      <c r="P461" s="184"/>
      <c r="Q461" s="184"/>
    </row>
    <row r="462" spans="1:17" x14ac:dyDescent="0.25">
      <c r="A462" s="184"/>
      <c r="B462" s="184"/>
      <c r="C462" s="185"/>
      <c r="D462" s="185"/>
      <c r="E462" s="185"/>
      <c r="F462" s="196"/>
      <c r="G462" s="278" t="s">
        <v>396</v>
      </c>
      <c r="H462" s="194">
        <f>H463-H461</f>
        <v>2462179.9299999997</v>
      </c>
      <c r="I462" s="185"/>
      <c r="J462" s="185"/>
      <c r="K462" s="185"/>
      <c r="L462" s="196"/>
      <c r="M462" s="196"/>
      <c r="N462" s="196"/>
      <c r="O462" s="196"/>
      <c r="P462" s="184"/>
      <c r="Q462" s="184"/>
    </row>
    <row r="463" spans="1:17" x14ac:dyDescent="0.25">
      <c r="A463" s="184"/>
      <c r="B463" s="184"/>
      <c r="C463" s="185"/>
      <c r="D463" s="185"/>
      <c r="E463" s="185"/>
      <c r="F463" s="196"/>
      <c r="G463" s="276"/>
      <c r="H463" s="186">
        <v>55861062.420000002</v>
      </c>
      <c r="I463" s="185"/>
      <c r="J463" s="185"/>
      <c r="K463" s="212"/>
      <c r="L463" s="283"/>
      <c r="M463" s="283"/>
      <c r="N463" s="283"/>
      <c r="O463" s="283"/>
      <c r="P463" s="184"/>
      <c r="Q463" s="184"/>
    </row>
    <row r="464" spans="1:17" x14ac:dyDescent="0.25">
      <c r="A464" s="184"/>
      <c r="B464" s="184"/>
      <c r="C464" s="185"/>
      <c r="D464" s="185"/>
      <c r="E464" s="185"/>
      <c r="F464" s="196"/>
      <c r="G464" s="278" t="s">
        <v>397</v>
      </c>
      <c r="H464" s="194">
        <f>H465-H463</f>
        <v>100161.94999999553</v>
      </c>
      <c r="I464" s="185"/>
      <c r="J464" s="185"/>
      <c r="K464" s="194"/>
      <c r="L464" s="284"/>
      <c r="M464" s="284"/>
      <c r="N464" s="284"/>
      <c r="O464" s="284"/>
      <c r="P464" s="184"/>
      <c r="Q464" s="184"/>
    </row>
    <row r="465" spans="1:17" x14ac:dyDescent="0.25">
      <c r="A465" s="184"/>
      <c r="B465" s="184"/>
      <c r="C465" s="185"/>
      <c r="D465" s="185"/>
      <c r="E465" s="185"/>
      <c r="F465" s="196"/>
      <c r="G465" s="276"/>
      <c r="H465" s="186">
        <v>55961224.369999997</v>
      </c>
      <c r="I465" s="185"/>
      <c r="J465" s="185"/>
      <c r="K465" s="194"/>
      <c r="L465" s="285"/>
      <c r="M465" s="285"/>
      <c r="N465" s="285"/>
      <c r="O465" s="285"/>
      <c r="P465" s="184"/>
      <c r="Q465" s="184"/>
    </row>
    <row r="466" spans="1:17" x14ac:dyDescent="0.25">
      <c r="A466" s="184"/>
      <c r="B466" s="184"/>
      <c r="C466" s="185"/>
      <c r="D466" s="185"/>
      <c r="E466" s="185"/>
      <c r="F466" s="196"/>
      <c r="G466" s="278" t="s">
        <v>398</v>
      </c>
      <c r="H466" s="194">
        <f>H467-H465</f>
        <v>101774.70000000298</v>
      </c>
      <c r="I466" s="185"/>
      <c r="J466" s="185"/>
      <c r="K466" s="194"/>
      <c r="L466" s="284"/>
      <c r="M466" s="284"/>
      <c r="N466" s="284"/>
      <c r="O466" s="284"/>
      <c r="P466" s="184"/>
      <c r="Q466" s="184"/>
    </row>
    <row r="467" spans="1:17" x14ac:dyDescent="0.25">
      <c r="A467" s="184"/>
      <c r="B467" s="184"/>
      <c r="C467" s="185"/>
      <c r="D467" s="185"/>
      <c r="E467" s="185"/>
      <c r="F467" s="196"/>
      <c r="G467" s="276"/>
      <c r="H467" s="186">
        <v>56062999.07</v>
      </c>
      <c r="I467" s="185"/>
      <c r="J467" s="185"/>
      <c r="K467" s="194"/>
      <c r="L467" s="285"/>
      <c r="M467" s="285"/>
      <c r="N467" s="285"/>
      <c r="O467" s="285"/>
      <c r="P467" s="184"/>
      <c r="Q467" s="184"/>
    </row>
    <row r="468" spans="1:17" x14ac:dyDescent="0.25">
      <c r="A468" s="184"/>
      <c r="B468" s="184"/>
      <c r="C468" s="185"/>
      <c r="D468" s="185"/>
      <c r="E468" s="185"/>
      <c r="F468" s="196"/>
      <c r="G468" s="278" t="s">
        <v>399</v>
      </c>
      <c r="H468" s="194">
        <f>H469-H467</f>
        <v>230721.17000000179</v>
      </c>
      <c r="I468" s="185"/>
      <c r="J468" s="185"/>
      <c r="K468" s="194"/>
      <c r="L468" s="284"/>
      <c r="M468" s="284"/>
      <c r="N468" s="284"/>
      <c r="O468" s="284"/>
      <c r="P468" s="184"/>
      <c r="Q468" s="184"/>
    </row>
    <row r="469" spans="1:17" x14ac:dyDescent="0.25">
      <c r="A469" s="184"/>
      <c r="B469" s="184"/>
      <c r="C469" s="185"/>
      <c r="D469" s="185"/>
      <c r="E469" s="185"/>
      <c r="F469" s="196"/>
      <c r="G469" s="276"/>
      <c r="H469" s="186">
        <v>56293720.240000002</v>
      </c>
      <c r="I469" s="185"/>
      <c r="J469" s="185"/>
      <c r="K469" s="285"/>
      <c r="L469" s="284"/>
      <c r="M469" s="284"/>
      <c r="N469" s="284"/>
      <c r="O469" s="284"/>
      <c r="P469" s="184"/>
      <c r="Q469" s="184"/>
    </row>
    <row r="470" spans="1:17" x14ac:dyDescent="0.25">
      <c r="A470" s="184"/>
      <c r="B470" s="184"/>
      <c r="C470" s="185"/>
      <c r="D470" s="185"/>
      <c r="E470" s="185"/>
      <c r="F470" s="196"/>
      <c r="G470" s="278" t="s">
        <v>400</v>
      </c>
      <c r="H470" s="194">
        <f>H471-H469</f>
        <v>3121389.3500000015</v>
      </c>
      <c r="I470" s="185"/>
      <c r="J470" s="185"/>
      <c r="K470" s="194"/>
      <c r="L470" s="284"/>
      <c r="M470" s="284"/>
      <c r="N470" s="284"/>
      <c r="O470" s="284"/>
      <c r="P470" s="184"/>
      <c r="Q470" s="184"/>
    </row>
    <row r="471" spans="1:17" x14ac:dyDescent="0.25">
      <c r="A471" s="184"/>
      <c r="B471" s="184"/>
      <c r="C471" s="185"/>
      <c r="D471" s="185"/>
      <c r="E471" s="185"/>
      <c r="F471" s="196"/>
      <c r="G471" s="276"/>
      <c r="H471" s="186">
        <v>59415109.590000004</v>
      </c>
      <c r="I471" s="185"/>
      <c r="J471" s="185"/>
      <c r="K471" s="185"/>
      <c r="L471" s="196"/>
      <c r="M471" s="196"/>
      <c r="N471" s="196"/>
      <c r="O471" s="196"/>
      <c r="P471" s="184"/>
      <c r="Q471" s="184"/>
    </row>
    <row r="472" spans="1:17" x14ac:dyDescent="0.25">
      <c r="A472" s="184"/>
      <c r="B472" s="184"/>
      <c r="C472" s="185"/>
      <c r="D472" s="185"/>
      <c r="E472" s="185"/>
      <c r="F472" s="196"/>
      <c r="G472" s="278" t="s">
        <v>401</v>
      </c>
      <c r="H472" s="194">
        <f>H473-H471</f>
        <v>206628.31999999285</v>
      </c>
      <c r="I472" s="185"/>
      <c r="J472" s="185"/>
      <c r="K472" s="194"/>
      <c r="L472" s="284"/>
      <c r="M472" s="284"/>
      <c r="N472" s="284"/>
      <c r="O472" s="284"/>
      <c r="P472" s="184"/>
      <c r="Q472" s="184"/>
    </row>
    <row r="473" spans="1:17" x14ac:dyDescent="0.25">
      <c r="A473" s="184"/>
      <c r="B473" s="184"/>
      <c r="C473" s="185"/>
      <c r="D473" s="185"/>
      <c r="E473" s="185"/>
      <c r="F473" s="196"/>
      <c r="G473" s="276"/>
      <c r="H473" s="186">
        <v>59621737.909999996</v>
      </c>
      <c r="I473" s="185"/>
      <c r="J473" s="185"/>
      <c r="K473" s="185"/>
      <c r="L473" s="196"/>
      <c r="M473" s="196"/>
      <c r="N473" s="196"/>
      <c r="O473" s="196"/>
      <c r="P473" s="184"/>
      <c r="Q473" s="184"/>
    </row>
    <row r="474" spans="1:17" x14ac:dyDescent="0.25">
      <c r="A474" s="184"/>
      <c r="B474" s="184"/>
      <c r="C474" s="185"/>
      <c r="D474" s="185"/>
      <c r="E474" s="185"/>
      <c r="F474" s="196"/>
      <c r="G474" s="278" t="s">
        <v>402</v>
      </c>
      <c r="H474" s="194">
        <f>H475-H473</f>
        <v>255723.22000000626</v>
      </c>
      <c r="I474" s="185"/>
      <c r="J474" s="186"/>
      <c r="K474" s="194"/>
      <c r="L474" s="284"/>
      <c r="M474" s="284"/>
      <c r="N474" s="284"/>
      <c r="O474" s="284"/>
      <c r="P474" s="184"/>
      <c r="Q474" s="184"/>
    </row>
    <row r="475" spans="1:17" x14ac:dyDescent="0.25">
      <c r="A475" s="184"/>
      <c r="B475" s="184"/>
      <c r="C475" s="185"/>
      <c r="D475" s="185"/>
      <c r="E475" s="185"/>
      <c r="F475" s="196"/>
      <c r="G475" s="276"/>
      <c r="H475" s="186">
        <v>59877461.130000003</v>
      </c>
      <c r="I475" s="185"/>
      <c r="J475" s="185"/>
      <c r="K475" s="185"/>
      <c r="L475" s="196"/>
      <c r="M475" s="196"/>
      <c r="N475" s="196"/>
      <c r="O475" s="196"/>
      <c r="P475" s="184"/>
      <c r="Q475" s="184"/>
    </row>
    <row r="476" spans="1:17" x14ac:dyDescent="0.25">
      <c r="A476" s="184"/>
      <c r="B476" s="184"/>
      <c r="C476" s="185"/>
      <c r="D476" s="185"/>
      <c r="E476" s="185"/>
      <c r="F476" s="196"/>
      <c r="G476" s="278" t="s">
        <v>403</v>
      </c>
      <c r="H476" s="194">
        <f>H477-H475</f>
        <v>612981.98999999464</v>
      </c>
      <c r="I476" s="185"/>
      <c r="J476" s="185"/>
      <c r="K476" s="194"/>
      <c r="L476" s="284"/>
      <c r="M476" s="284"/>
      <c r="N476" s="284"/>
      <c r="O476" s="284"/>
      <c r="P476" s="184"/>
      <c r="Q476" s="184"/>
    </row>
    <row r="477" spans="1:17" x14ac:dyDescent="0.25">
      <c r="A477" s="184"/>
      <c r="B477" s="184"/>
      <c r="C477" s="185"/>
      <c r="D477" s="185"/>
      <c r="E477" s="185"/>
      <c r="F477" s="196"/>
      <c r="G477" s="276"/>
      <c r="H477" s="186">
        <v>60490443.119999997</v>
      </c>
      <c r="I477" s="185"/>
      <c r="J477" s="185"/>
      <c r="K477" s="185"/>
      <c r="L477" s="196"/>
      <c r="M477" s="196"/>
      <c r="N477" s="196"/>
      <c r="O477" s="196"/>
      <c r="P477" s="184"/>
      <c r="Q477" s="184"/>
    </row>
    <row r="478" spans="1:17" x14ac:dyDescent="0.25">
      <c r="A478" s="184"/>
      <c r="B478" s="184"/>
      <c r="C478" s="185"/>
      <c r="D478" s="185"/>
      <c r="E478" s="185"/>
      <c r="F478" s="196"/>
      <c r="G478" s="278" t="s">
        <v>404</v>
      </c>
      <c r="H478" s="194">
        <f>H479-H477</f>
        <v>430016.23000000417</v>
      </c>
      <c r="I478" s="185"/>
      <c r="J478" s="185"/>
      <c r="K478" s="194"/>
      <c r="L478" s="284"/>
      <c r="M478" s="284"/>
      <c r="N478" s="284"/>
      <c r="O478" s="196"/>
      <c r="P478" s="184"/>
      <c r="Q478" s="184"/>
    </row>
    <row r="479" spans="1:17" x14ac:dyDescent="0.25">
      <c r="A479" s="184"/>
      <c r="B479" s="184"/>
      <c r="C479" s="185"/>
      <c r="D479" s="185"/>
      <c r="E479" s="185"/>
      <c r="F479" s="196"/>
      <c r="G479" s="276"/>
      <c r="H479" s="186">
        <v>60920459.350000001</v>
      </c>
      <c r="I479" s="185"/>
      <c r="J479" s="185"/>
      <c r="K479" s="185"/>
      <c r="L479" s="196"/>
      <c r="M479" s="196"/>
      <c r="N479" s="196"/>
      <c r="O479" s="196"/>
      <c r="P479" s="184"/>
      <c r="Q479" s="184"/>
    </row>
    <row r="480" spans="1:17" x14ac:dyDescent="0.25">
      <c r="A480" s="184"/>
      <c r="B480" s="184"/>
      <c r="C480" s="185"/>
      <c r="D480" s="185"/>
      <c r="E480" s="185"/>
      <c r="F480" s="196"/>
      <c r="G480" s="278" t="s">
        <v>405</v>
      </c>
      <c r="H480" s="194">
        <f>H481-H479</f>
        <v>337549.54999999702</v>
      </c>
      <c r="I480" s="185"/>
      <c r="J480" s="185"/>
      <c r="K480" s="194"/>
      <c r="L480" s="284"/>
      <c r="M480" s="284"/>
      <c r="N480" s="284"/>
      <c r="O480" s="196"/>
      <c r="P480" s="184"/>
      <c r="Q480" s="184"/>
    </row>
    <row r="481" spans="1:17" x14ac:dyDescent="0.25">
      <c r="A481" s="184"/>
      <c r="B481" s="184"/>
      <c r="C481" s="185"/>
      <c r="D481" s="185"/>
      <c r="E481" s="185"/>
      <c r="F481" s="196"/>
      <c r="G481" s="276"/>
      <c r="H481" s="186">
        <v>61258008.899999999</v>
      </c>
      <c r="I481" s="185"/>
      <c r="J481" s="185"/>
      <c r="K481" s="191"/>
      <c r="L481" s="189"/>
      <c r="M481" s="189"/>
      <c r="N481" s="189"/>
      <c r="O481" s="189"/>
      <c r="P481" s="184"/>
      <c r="Q481" s="184"/>
    </row>
    <row r="482" spans="1:17" x14ac:dyDescent="0.25">
      <c r="A482" s="184"/>
      <c r="B482" s="184"/>
      <c r="C482" s="185"/>
      <c r="D482" s="185"/>
      <c r="E482" s="185"/>
      <c r="F482" s="196"/>
      <c r="G482" s="286" t="s">
        <v>406</v>
      </c>
      <c r="H482" s="194">
        <f>H483-H481</f>
        <v>150728.3900000006</v>
      </c>
      <c r="I482" s="185"/>
      <c r="J482" s="185"/>
      <c r="K482" s="194"/>
      <c r="L482" s="284"/>
      <c r="M482" s="284"/>
      <c r="N482" s="284"/>
      <c r="O482" s="189"/>
      <c r="P482" s="184"/>
      <c r="Q482" s="184"/>
    </row>
    <row r="483" spans="1:17" x14ac:dyDescent="0.25">
      <c r="A483" s="184"/>
      <c r="B483" s="184"/>
      <c r="C483" s="185"/>
      <c r="D483" s="185"/>
      <c r="E483" s="185"/>
      <c r="F483" s="196"/>
      <c r="G483" s="276"/>
      <c r="H483" s="186">
        <v>61408737.289999999</v>
      </c>
      <c r="I483" s="185"/>
      <c r="J483" s="185"/>
      <c r="K483" s="191"/>
      <c r="L483" s="189"/>
      <c r="M483" s="189"/>
      <c r="N483" s="189"/>
      <c r="O483" s="189"/>
      <c r="P483" s="184"/>
      <c r="Q483" s="184"/>
    </row>
    <row r="484" spans="1:17" x14ac:dyDescent="0.25">
      <c r="A484" s="184"/>
      <c r="B484" s="184"/>
      <c r="C484" s="185"/>
      <c r="D484" s="185"/>
      <c r="E484" s="185"/>
      <c r="F484" s="196"/>
      <c r="G484" s="276" t="s">
        <v>407</v>
      </c>
      <c r="H484" s="194">
        <f>H485-H483</f>
        <v>199086.68999999762</v>
      </c>
      <c r="I484" s="185"/>
      <c r="J484" s="185"/>
      <c r="K484" s="194"/>
      <c r="L484" s="283"/>
      <c r="M484" s="283"/>
      <c r="N484" s="283"/>
      <c r="O484" s="189"/>
      <c r="P484" s="184"/>
      <c r="Q484" s="184"/>
    </row>
    <row r="485" spans="1:17" x14ac:dyDescent="0.25">
      <c r="A485" s="184"/>
      <c r="B485" s="184"/>
      <c r="C485" s="185"/>
      <c r="D485" s="185"/>
      <c r="E485" s="185"/>
      <c r="F485" s="196"/>
      <c r="G485" s="276"/>
      <c r="H485" s="186">
        <v>61607823.979999997</v>
      </c>
      <c r="I485" s="185"/>
      <c r="J485" s="185"/>
      <c r="K485" s="191"/>
      <c r="L485" s="189"/>
      <c r="M485" s="189"/>
      <c r="N485" s="189"/>
      <c r="O485" s="189"/>
      <c r="P485" s="184"/>
      <c r="Q485" s="184"/>
    </row>
    <row r="486" spans="1:17" x14ac:dyDescent="0.25">
      <c r="A486" s="184"/>
      <c r="B486" s="184"/>
      <c r="C486" s="185"/>
      <c r="D486" s="185"/>
      <c r="E486" s="185"/>
      <c r="F486" s="196"/>
      <c r="G486" s="276" t="s">
        <v>408</v>
      </c>
      <c r="H486" s="194">
        <f>H487-H485</f>
        <v>194893.69000000507</v>
      </c>
      <c r="I486" s="185"/>
      <c r="J486" s="185"/>
      <c r="K486" s="194"/>
      <c r="L486" s="283"/>
      <c r="M486" s="283"/>
      <c r="N486" s="283"/>
      <c r="O486" s="189"/>
      <c r="P486" s="184"/>
      <c r="Q486" s="184"/>
    </row>
    <row r="487" spans="1:17" x14ac:dyDescent="0.25">
      <c r="A487" s="184"/>
      <c r="B487" s="184"/>
      <c r="C487" s="185"/>
      <c r="D487" s="185"/>
      <c r="E487" s="185"/>
      <c r="F487" s="196"/>
      <c r="G487" s="276"/>
      <c r="H487" s="186">
        <v>61802717.670000002</v>
      </c>
      <c r="I487" s="185"/>
      <c r="J487" s="185"/>
      <c r="K487" s="191"/>
      <c r="L487" s="189"/>
      <c r="M487" s="189"/>
      <c r="N487" s="189"/>
      <c r="O487" s="189"/>
      <c r="P487" s="184"/>
      <c r="Q487" s="184"/>
    </row>
    <row r="488" spans="1:17" x14ac:dyDescent="0.25">
      <c r="A488" s="184"/>
      <c r="B488" s="184"/>
      <c r="C488" s="185"/>
      <c r="D488" s="185"/>
      <c r="E488" s="185"/>
      <c r="F488" s="196"/>
      <c r="G488" s="276" t="s">
        <v>409</v>
      </c>
      <c r="H488" s="194">
        <f>H489-H487</f>
        <v>578109.71999999881</v>
      </c>
      <c r="I488" s="185"/>
      <c r="J488" s="185"/>
      <c r="K488" s="194"/>
      <c r="L488" s="283"/>
      <c r="M488" s="283"/>
      <c r="N488" s="283"/>
      <c r="O488" s="189"/>
      <c r="P488" s="184"/>
      <c r="Q488" s="184"/>
    </row>
    <row r="489" spans="1:17" x14ac:dyDescent="0.25">
      <c r="A489" s="184"/>
      <c r="B489" s="184"/>
      <c r="C489" s="185"/>
      <c r="D489" s="185"/>
      <c r="E489" s="185"/>
      <c r="F489" s="196"/>
      <c r="G489" s="276"/>
      <c r="H489" s="186">
        <v>62380827.390000001</v>
      </c>
      <c r="I489" s="185"/>
      <c r="J489" s="185"/>
      <c r="K489" s="185"/>
      <c r="L489" s="196"/>
      <c r="M489" s="196"/>
      <c r="N489" s="196"/>
      <c r="O489" s="196"/>
      <c r="P489" s="184"/>
      <c r="Q489" s="184"/>
    </row>
    <row r="490" spans="1:17" x14ac:dyDescent="0.25">
      <c r="A490" s="184"/>
      <c r="B490" s="184"/>
      <c r="C490" s="185"/>
      <c r="D490" s="185"/>
      <c r="E490" s="185"/>
      <c r="F490" s="196"/>
      <c r="G490" s="286" t="s">
        <v>410</v>
      </c>
      <c r="H490" s="194">
        <f>H491-H489</f>
        <v>344951.29000000656</v>
      </c>
      <c r="I490" s="185"/>
      <c r="J490" s="185"/>
      <c r="K490" s="194"/>
      <c r="L490" s="283"/>
      <c r="M490" s="283"/>
      <c r="N490" s="283"/>
      <c r="O490" s="196"/>
      <c r="P490" s="184"/>
      <c r="Q490" s="184"/>
    </row>
    <row r="491" spans="1:17" x14ac:dyDescent="0.25">
      <c r="A491" s="184"/>
      <c r="B491" s="184"/>
      <c r="C491" s="185"/>
      <c r="D491" s="185"/>
      <c r="E491" s="185"/>
      <c r="F491" s="196"/>
      <c r="G491" s="276"/>
      <c r="H491" s="186">
        <v>62725778.680000007</v>
      </c>
      <c r="I491" s="185"/>
      <c r="J491" s="185"/>
      <c r="K491" s="185"/>
      <c r="L491" s="196"/>
      <c r="M491" s="196"/>
      <c r="N491" s="196"/>
      <c r="O491" s="196"/>
      <c r="P491" s="184"/>
      <c r="Q491" s="184"/>
    </row>
    <row r="492" spans="1:17" x14ac:dyDescent="0.25">
      <c r="A492" s="184"/>
      <c r="B492" s="184"/>
      <c r="C492" s="185"/>
      <c r="D492" s="185"/>
      <c r="E492" s="185"/>
      <c r="F492" s="196"/>
      <c r="G492" s="286" t="s">
        <v>411</v>
      </c>
      <c r="H492" s="194">
        <f>H493-H491</f>
        <v>377237</v>
      </c>
      <c r="I492" s="185"/>
      <c r="J492" s="185"/>
      <c r="K492" s="194"/>
      <c r="L492" s="283"/>
      <c r="M492" s="283"/>
      <c r="N492" s="283"/>
      <c r="O492" s="196"/>
      <c r="P492" s="184"/>
      <c r="Q492" s="184"/>
    </row>
    <row r="493" spans="1:17" x14ac:dyDescent="0.25">
      <c r="A493" s="184"/>
      <c r="B493" s="184"/>
      <c r="C493" s="185"/>
      <c r="D493" s="185"/>
      <c r="E493" s="185"/>
      <c r="F493" s="196"/>
      <c r="G493" s="276"/>
      <c r="H493" s="186">
        <v>63103015.680000007</v>
      </c>
      <c r="I493" s="185"/>
      <c r="J493" s="185"/>
      <c r="K493" s="185"/>
      <c r="L493" s="196"/>
      <c r="M493" s="196"/>
      <c r="N493" s="196"/>
      <c r="O493" s="196"/>
      <c r="P493" s="184"/>
      <c r="Q493" s="184"/>
    </row>
    <row r="494" spans="1:17" x14ac:dyDescent="0.25">
      <c r="A494" s="184"/>
      <c r="B494" s="184"/>
      <c r="C494" s="185"/>
      <c r="D494" s="185"/>
      <c r="E494" s="185"/>
      <c r="F494" s="196"/>
      <c r="G494" s="286" t="s">
        <v>412</v>
      </c>
      <c r="H494" s="194">
        <f>H495-H493</f>
        <v>569361.15000000596</v>
      </c>
      <c r="I494" s="185"/>
      <c r="J494" s="185"/>
      <c r="K494" s="194"/>
      <c r="L494" s="287"/>
      <c r="M494" s="287"/>
      <c r="N494" s="287"/>
      <c r="O494" s="196"/>
      <c r="P494" s="184"/>
      <c r="Q494" s="184"/>
    </row>
    <row r="495" spans="1:17" x14ac:dyDescent="0.25">
      <c r="A495" s="184"/>
      <c r="B495" s="184"/>
      <c r="C495" s="185"/>
      <c r="D495" s="185"/>
      <c r="E495" s="185"/>
      <c r="F495" s="196"/>
      <c r="G495" s="276"/>
      <c r="H495" s="186">
        <v>63672376.830000013</v>
      </c>
      <c r="I495" s="185"/>
      <c r="J495" s="185"/>
      <c r="K495" s="185"/>
      <c r="L495" s="196"/>
      <c r="M495" s="196"/>
      <c r="N495" s="196"/>
      <c r="O495" s="196"/>
      <c r="P495" s="184"/>
      <c r="Q495" s="184"/>
    </row>
    <row r="496" spans="1:17" x14ac:dyDescent="0.25">
      <c r="A496" s="184"/>
      <c r="B496" s="184"/>
      <c r="C496" s="185"/>
      <c r="D496" s="185"/>
      <c r="E496" s="185"/>
      <c r="F496" s="196"/>
      <c r="G496" s="286" t="s">
        <v>413</v>
      </c>
      <c r="H496" s="194">
        <f>H497-H495</f>
        <v>215403</v>
      </c>
      <c r="I496" s="185"/>
      <c r="J496" s="185"/>
      <c r="K496" s="194"/>
      <c r="L496" s="287"/>
      <c r="M496" s="287"/>
      <c r="N496" s="287"/>
      <c r="O496" s="196"/>
      <c r="P496" s="184"/>
      <c r="Q496" s="184"/>
    </row>
    <row r="497" spans="1:17" x14ac:dyDescent="0.25">
      <c r="A497" s="184"/>
      <c r="B497" s="184" t="s">
        <v>414</v>
      </c>
      <c r="C497" s="185">
        <f>'[2]Summary 2021A'!$C$791</f>
        <v>242000000</v>
      </c>
      <c r="D497" s="185"/>
      <c r="E497" s="185"/>
      <c r="F497" s="196"/>
      <c r="G497" s="276"/>
      <c r="H497" s="186">
        <v>63887779.830000013</v>
      </c>
      <c r="I497" s="185"/>
      <c r="J497" s="185"/>
      <c r="K497" s="185"/>
      <c r="L497" s="196"/>
      <c r="M497" s="196"/>
      <c r="N497" s="196"/>
      <c r="O497" s="196"/>
      <c r="P497" s="184"/>
      <c r="Q497" s="184"/>
    </row>
    <row r="498" spans="1:17" x14ac:dyDescent="0.25">
      <c r="A498" s="184"/>
      <c r="B498" s="184"/>
      <c r="C498" s="185"/>
      <c r="D498" s="185"/>
      <c r="E498" s="185"/>
      <c r="F498" s="196"/>
      <c r="G498" s="286" t="s">
        <v>415</v>
      </c>
      <c r="H498" s="194">
        <f>H499-H497</f>
        <v>76886.269999995828</v>
      </c>
      <c r="I498" s="185"/>
      <c r="J498" s="185"/>
      <c r="K498" s="194"/>
      <c r="L498" s="276"/>
      <c r="M498" s="276"/>
      <c r="N498" s="287"/>
      <c r="O498" s="196"/>
      <c r="P498" s="184"/>
      <c r="Q498" s="184"/>
    </row>
    <row r="499" spans="1:17" x14ac:dyDescent="0.25">
      <c r="A499" s="184"/>
      <c r="B499" s="184"/>
      <c r="C499" s="185"/>
      <c r="D499" s="185"/>
      <c r="E499" s="185"/>
      <c r="F499" s="196"/>
      <c r="G499" s="276"/>
      <c r="H499" s="185">
        <v>63964666.100000009</v>
      </c>
      <c r="I499" s="185"/>
      <c r="J499" s="185"/>
      <c r="K499" s="185"/>
      <c r="L499" s="276"/>
      <c r="M499" s="276"/>
      <c r="N499" s="196"/>
      <c r="O499" s="196"/>
      <c r="P499" s="184"/>
      <c r="Q499" s="184"/>
    </row>
    <row r="500" spans="1:17" x14ac:dyDescent="0.25">
      <c r="A500" s="184"/>
      <c r="B500" s="184"/>
      <c r="C500" s="185"/>
      <c r="D500" s="185"/>
      <c r="E500" s="185"/>
      <c r="F500" s="196"/>
      <c r="G500" s="286" t="s">
        <v>416</v>
      </c>
      <c r="H500" s="194">
        <f>H501-H499</f>
        <v>44536.930000007153</v>
      </c>
      <c r="I500" s="185"/>
      <c r="J500" s="185"/>
      <c r="K500" s="194"/>
      <c r="L500" s="276"/>
      <c r="M500" s="276"/>
      <c r="N500" s="287"/>
      <c r="O500" s="196"/>
      <c r="P500" s="184"/>
      <c r="Q500" s="184"/>
    </row>
    <row r="501" spans="1:17" x14ac:dyDescent="0.25">
      <c r="A501" s="184"/>
      <c r="B501" s="184"/>
      <c r="C501" s="185"/>
      <c r="D501" s="185"/>
      <c r="E501" s="185"/>
      <c r="F501" s="196"/>
      <c r="G501" s="276"/>
      <c r="H501" s="186">
        <v>64009203.030000016</v>
      </c>
      <c r="I501" s="185"/>
      <c r="J501" s="185"/>
      <c r="K501" s="185"/>
      <c r="L501" s="196"/>
      <c r="M501" s="196"/>
      <c r="N501" s="196"/>
      <c r="O501" s="196"/>
      <c r="P501" s="184"/>
      <c r="Q501" s="184"/>
    </row>
    <row r="502" spans="1:17" x14ac:dyDescent="0.25">
      <c r="A502" s="184"/>
      <c r="B502" s="184"/>
      <c r="C502" s="185"/>
      <c r="D502" s="185"/>
      <c r="E502" s="185"/>
      <c r="F502" s="288">
        <v>45216</v>
      </c>
      <c r="G502" s="286" t="s">
        <v>417</v>
      </c>
      <c r="H502" s="194">
        <f>H503-H501</f>
        <v>3812242.6199999899</v>
      </c>
      <c r="I502" s="185"/>
      <c r="J502" s="185"/>
      <c r="K502" s="194"/>
      <c r="L502" s="287"/>
      <c r="M502" s="287"/>
      <c r="N502" s="287"/>
      <c r="O502" s="196"/>
      <c r="P502" s="184"/>
      <c r="Q502" s="184"/>
    </row>
    <row r="503" spans="1:17" x14ac:dyDescent="0.25">
      <c r="A503" s="184"/>
      <c r="B503" s="184"/>
      <c r="C503" s="185"/>
      <c r="D503" s="185"/>
      <c r="E503" s="185"/>
      <c r="F503" s="288"/>
      <c r="G503" s="276"/>
      <c r="H503" s="186">
        <v>67821445.650000006</v>
      </c>
      <c r="I503" s="185"/>
      <c r="J503" s="185"/>
      <c r="K503" s="185"/>
      <c r="L503" s="196"/>
      <c r="M503" s="196"/>
      <c r="N503" s="196"/>
      <c r="O503" s="196"/>
      <c r="P503" s="184"/>
      <c r="Q503" s="184"/>
    </row>
    <row r="504" spans="1:17" x14ac:dyDescent="0.25">
      <c r="A504" s="184"/>
      <c r="B504" s="184"/>
      <c r="C504" s="185"/>
      <c r="D504" s="185"/>
      <c r="E504" s="185"/>
      <c r="F504" s="288">
        <v>45219</v>
      </c>
      <c r="G504" s="286" t="s">
        <v>418</v>
      </c>
      <c r="H504" s="194">
        <f>H505-H503</f>
        <v>100987.70000000298</v>
      </c>
      <c r="I504" s="185"/>
      <c r="J504" s="185"/>
      <c r="K504" s="194"/>
      <c r="L504" s="287"/>
      <c r="M504" s="287"/>
      <c r="N504" s="287"/>
      <c r="O504" s="196"/>
      <c r="P504" s="184"/>
      <c r="Q504" s="184"/>
    </row>
    <row r="505" spans="1:17" x14ac:dyDescent="0.25">
      <c r="A505" s="184"/>
      <c r="B505" s="184"/>
      <c r="C505" s="185"/>
      <c r="D505" s="185"/>
      <c r="E505" s="185"/>
      <c r="F505" s="288"/>
      <c r="G505" s="276"/>
      <c r="H505" s="190">
        <v>67922433.350000009</v>
      </c>
      <c r="I505" s="185"/>
      <c r="J505" s="185"/>
      <c r="K505" s="185"/>
      <c r="L505" s="196"/>
      <c r="M505" s="196"/>
      <c r="N505" s="196"/>
      <c r="O505" s="196"/>
      <c r="P505" s="184"/>
      <c r="Q505" s="184"/>
    </row>
    <row r="506" spans="1:17" x14ac:dyDescent="0.25">
      <c r="A506" s="184"/>
      <c r="B506" s="184"/>
      <c r="C506" s="185"/>
      <c r="D506" s="185"/>
      <c r="E506" s="185"/>
      <c r="F506" s="288"/>
      <c r="G506" s="286" t="s">
        <v>419</v>
      </c>
      <c r="H506" s="194">
        <f>H507-H505</f>
        <v>198</v>
      </c>
      <c r="I506" s="185"/>
      <c r="J506" s="185"/>
      <c r="K506" s="194"/>
      <c r="L506" s="289"/>
      <c r="M506" s="289"/>
      <c r="N506" s="289"/>
      <c r="O506" s="196"/>
      <c r="P506" s="184"/>
      <c r="Q506" s="184"/>
    </row>
    <row r="507" spans="1:17" x14ac:dyDescent="0.25">
      <c r="A507" s="184"/>
      <c r="B507" s="184"/>
      <c r="C507" s="185"/>
      <c r="D507" s="185"/>
      <c r="E507" s="185"/>
      <c r="F507" s="288"/>
      <c r="G507" s="276"/>
      <c r="H507" s="190">
        <v>67922631.350000009</v>
      </c>
      <c r="I507" s="185"/>
      <c r="J507" s="185"/>
      <c r="K507" s="185"/>
      <c r="L507" s="289"/>
      <c r="M507" s="289"/>
      <c r="N507" s="289"/>
      <c r="O507" s="196"/>
      <c r="P507" s="184"/>
      <c r="Q507" s="184"/>
    </row>
    <row r="508" spans="1:17" x14ac:dyDescent="0.25">
      <c r="A508" s="184"/>
      <c r="B508" s="184"/>
      <c r="C508" s="185"/>
      <c r="D508" s="185"/>
      <c r="E508" s="185"/>
      <c r="F508" s="288">
        <v>45226</v>
      </c>
      <c r="G508" s="286" t="s">
        <v>420</v>
      </c>
      <c r="H508" s="194">
        <f>H509-H507</f>
        <v>2960.0400000065565</v>
      </c>
      <c r="I508" s="185"/>
      <c r="J508" s="185"/>
      <c r="K508" s="194"/>
      <c r="L508" s="289"/>
      <c r="M508" s="289"/>
      <c r="N508" s="289"/>
      <c r="O508" s="196"/>
      <c r="P508" s="184"/>
      <c r="Q508" s="184"/>
    </row>
    <row r="509" spans="1:17" x14ac:dyDescent="0.25">
      <c r="A509" s="184"/>
      <c r="B509" s="184"/>
      <c r="C509" s="185"/>
      <c r="D509" s="185"/>
      <c r="E509" s="185"/>
      <c r="F509" s="288"/>
      <c r="G509" s="276"/>
      <c r="H509" s="186">
        <v>67925591.390000015</v>
      </c>
      <c r="I509" s="185"/>
      <c r="J509" s="185"/>
      <c r="K509" s="185"/>
      <c r="L509" s="289"/>
      <c r="M509" s="289"/>
      <c r="N509" s="289"/>
      <c r="O509" s="196"/>
      <c r="P509" s="184"/>
      <c r="Q509" s="184"/>
    </row>
    <row r="510" spans="1:17" x14ac:dyDescent="0.25">
      <c r="A510" s="184"/>
      <c r="B510" s="184"/>
      <c r="C510" s="185"/>
      <c r="D510" s="185"/>
      <c r="E510" s="185"/>
      <c r="F510" s="288">
        <v>45237</v>
      </c>
      <c r="G510" s="286" t="s">
        <v>421</v>
      </c>
      <c r="H510" s="194">
        <f>H511-H509</f>
        <v>131078.72999998927</v>
      </c>
      <c r="I510" s="185"/>
      <c r="J510" s="185"/>
      <c r="K510" s="194"/>
      <c r="L510" s="289"/>
      <c r="M510" s="289"/>
      <c r="N510" s="289"/>
      <c r="O510" s="196"/>
      <c r="P510" s="184"/>
      <c r="Q510" s="184"/>
    </row>
    <row r="511" spans="1:17" x14ac:dyDescent="0.25">
      <c r="A511" s="184"/>
      <c r="B511" s="184"/>
      <c r="C511" s="185"/>
      <c r="D511" s="185"/>
      <c r="E511" s="185"/>
      <c r="F511" s="288"/>
      <c r="G511" s="276"/>
      <c r="H511" s="186">
        <v>68056670.120000005</v>
      </c>
      <c r="I511" s="185"/>
      <c r="J511" s="185"/>
      <c r="K511" s="185"/>
      <c r="L511" s="196"/>
      <c r="M511" s="196"/>
      <c r="N511" s="289"/>
      <c r="O511" s="196"/>
      <c r="P511" s="184"/>
      <c r="Q511" s="184"/>
    </row>
    <row r="512" spans="1:17" x14ac:dyDescent="0.25">
      <c r="A512" s="184"/>
      <c r="B512" s="184"/>
      <c r="C512" s="185"/>
      <c r="D512" s="185"/>
      <c r="E512" s="185"/>
      <c r="F512" s="288">
        <v>45246</v>
      </c>
      <c r="G512" s="286" t="s">
        <v>422</v>
      </c>
      <c r="H512" s="194">
        <f>H513-H511</f>
        <v>217976.22999998927</v>
      </c>
      <c r="I512" s="185"/>
      <c r="J512" s="185"/>
      <c r="K512" s="185"/>
      <c r="L512" s="196"/>
      <c r="M512" s="196"/>
      <c r="N512" s="289"/>
      <c r="O512" s="196"/>
      <c r="P512" s="184"/>
      <c r="Q512" s="184"/>
    </row>
    <row r="513" spans="1:17" x14ac:dyDescent="0.25">
      <c r="A513" s="184"/>
      <c r="B513" s="184"/>
      <c r="C513" s="185"/>
      <c r="D513" s="185"/>
      <c r="E513" s="185"/>
      <c r="F513" s="288"/>
      <c r="G513" s="276"/>
      <c r="H513" s="186">
        <v>68274646.349999994</v>
      </c>
      <c r="I513" s="185"/>
      <c r="J513" s="185"/>
      <c r="K513" s="185"/>
      <c r="L513" s="196"/>
      <c r="M513" s="196"/>
      <c r="N513" s="289"/>
      <c r="O513" s="196"/>
      <c r="P513" s="184"/>
      <c r="Q513" s="184"/>
    </row>
    <row r="514" spans="1:17" x14ac:dyDescent="0.25">
      <c r="A514" s="184"/>
      <c r="B514" s="184"/>
      <c r="C514" s="185"/>
      <c r="D514" s="185"/>
      <c r="E514" s="185"/>
      <c r="F514" s="288">
        <v>45251</v>
      </c>
      <c r="G514" s="286" t="s">
        <v>423</v>
      </c>
      <c r="H514" s="194">
        <f>H515-H513</f>
        <v>57363.640000015497</v>
      </c>
      <c r="I514" s="185"/>
      <c r="J514" s="185"/>
      <c r="K514" s="185"/>
      <c r="L514" s="196"/>
      <c r="M514" s="196"/>
      <c r="N514" s="290"/>
      <c r="O514" s="196"/>
      <c r="P514" s="184"/>
      <c r="Q514" s="184"/>
    </row>
    <row r="515" spans="1:17" x14ac:dyDescent="0.25">
      <c r="A515" s="184"/>
      <c r="B515" s="184"/>
      <c r="C515" s="185"/>
      <c r="D515" s="185"/>
      <c r="E515" s="185"/>
      <c r="F515" s="288"/>
      <c r="G515" s="276"/>
      <c r="H515" s="186">
        <v>68332009.99000001</v>
      </c>
      <c r="I515" s="185"/>
      <c r="J515" s="185"/>
      <c r="K515" s="185"/>
      <c r="L515" s="289"/>
      <c r="M515" s="289"/>
      <c r="N515" s="289"/>
      <c r="O515" s="196"/>
      <c r="P515" s="184"/>
      <c r="Q515" s="184"/>
    </row>
    <row r="516" spans="1:17" x14ac:dyDescent="0.25">
      <c r="A516" s="184"/>
      <c r="B516" s="184"/>
      <c r="C516" s="185"/>
      <c r="D516" s="185"/>
      <c r="E516" s="185"/>
      <c r="F516" s="288">
        <v>45265</v>
      </c>
      <c r="G516" s="286" t="s">
        <v>424</v>
      </c>
      <c r="H516" s="194">
        <f>H517-H515</f>
        <v>79790.949999988079</v>
      </c>
      <c r="I516" s="185"/>
      <c r="J516" s="185"/>
      <c r="K516" s="194"/>
      <c r="L516" s="289"/>
      <c r="M516" s="289"/>
      <c r="N516" s="290"/>
      <c r="O516" s="196"/>
      <c r="P516" s="184"/>
      <c r="Q516" s="184"/>
    </row>
    <row r="517" spans="1:17" x14ac:dyDescent="0.25">
      <c r="A517" s="184"/>
      <c r="B517" s="184"/>
      <c r="C517" s="185"/>
      <c r="D517" s="185"/>
      <c r="E517" s="185"/>
      <c r="F517" s="288"/>
      <c r="G517" s="276"/>
      <c r="H517" s="186">
        <v>68411800.939999998</v>
      </c>
      <c r="I517" s="185"/>
      <c r="J517" s="185"/>
      <c r="K517" s="185"/>
      <c r="L517" s="289"/>
      <c r="M517" s="289"/>
      <c r="N517" s="289"/>
      <c r="O517" s="196"/>
      <c r="P517" s="184"/>
      <c r="Q517" s="184"/>
    </row>
    <row r="518" spans="1:17" x14ac:dyDescent="0.25">
      <c r="A518" s="184"/>
      <c r="B518" s="184"/>
      <c r="C518" s="185"/>
      <c r="D518" s="185"/>
      <c r="E518" s="185"/>
      <c r="F518" s="288">
        <v>45273</v>
      </c>
      <c r="G518" s="286" t="s">
        <v>425</v>
      </c>
      <c r="H518" s="194">
        <f>H519-H517</f>
        <v>1612407.650000006</v>
      </c>
      <c r="I518" s="185"/>
      <c r="J518" s="185"/>
      <c r="K518" s="194"/>
      <c r="L518" s="290"/>
      <c r="M518" s="290"/>
      <c r="N518" s="290"/>
      <c r="O518" s="196"/>
      <c r="P518" s="184"/>
      <c r="Q518" s="184"/>
    </row>
    <row r="519" spans="1:17" x14ac:dyDescent="0.25">
      <c r="A519" s="184"/>
      <c r="B519" s="184"/>
      <c r="C519" s="185"/>
      <c r="D519" s="185"/>
      <c r="E519" s="185"/>
      <c r="F519" s="288"/>
      <c r="G519" s="276"/>
      <c r="H519" s="186">
        <v>70024208.590000004</v>
      </c>
      <c r="I519" s="185"/>
      <c r="J519" s="185"/>
      <c r="K519" s="185"/>
      <c r="L519" s="289"/>
      <c r="M519" s="289"/>
      <c r="N519" s="289"/>
      <c r="O519" s="196"/>
      <c r="P519" s="184"/>
      <c r="Q519" s="184"/>
    </row>
    <row r="520" spans="1:17" x14ac:dyDescent="0.25">
      <c r="A520" s="184"/>
      <c r="B520" s="184"/>
      <c r="C520" s="185"/>
      <c r="D520" s="185"/>
      <c r="E520" s="185"/>
      <c r="F520" s="288">
        <v>45279</v>
      </c>
      <c r="G520" s="286" t="s">
        <v>426</v>
      </c>
      <c r="H520" s="194">
        <f>H521-H519</f>
        <v>94671.70000000298</v>
      </c>
      <c r="I520" s="185"/>
      <c r="J520" s="185"/>
      <c r="K520" s="194"/>
      <c r="L520" s="290"/>
      <c r="M520" s="290"/>
      <c r="N520" s="289"/>
      <c r="O520" s="196"/>
      <c r="P520" s="184"/>
      <c r="Q520" s="184"/>
    </row>
    <row r="521" spans="1:17" x14ac:dyDescent="0.25">
      <c r="A521" s="184"/>
      <c r="B521" s="184"/>
      <c r="C521" s="185"/>
      <c r="D521" s="185"/>
      <c r="E521" s="185"/>
      <c r="F521" s="288"/>
      <c r="G521" s="276"/>
      <c r="H521" s="186">
        <v>70118880.290000007</v>
      </c>
      <c r="I521" s="185"/>
      <c r="J521" s="185"/>
      <c r="K521" s="289"/>
      <c r="L521" s="289"/>
      <c r="M521" s="289"/>
      <c r="N521" s="289"/>
      <c r="O521" s="196"/>
      <c r="P521" s="184"/>
      <c r="Q521" s="184"/>
    </row>
    <row r="522" spans="1:17" x14ac:dyDescent="0.25">
      <c r="A522" s="184"/>
      <c r="B522" s="184"/>
      <c r="C522" s="185"/>
      <c r="D522" s="185"/>
      <c r="E522" s="185"/>
      <c r="F522" s="288">
        <v>45280</v>
      </c>
      <c r="G522" s="286" t="s">
        <v>427</v>
      </c>
      <c r="H522" s="194">
        <f>H523-H521</f>
        <v>2216432.9699999988</v>
      </c>
      <c r="I522" s="185"/>
      <c r="J522" s="185"/>
      <c r="K522" s="194"/>
      <c r="L522" s="289"/>
      <c r="M522" s="289"/>
      <c r="N522" s="289"/>
      <c r="O522" s="196"/>
      <c r="P522" s="184"/>
      <c r="Q522" s="184"/>
    </row>
    <row r="523" spans="1:17" x14ac:dyDescent="0.25">
      <c r="A523" s="184"/>
      <c r="B523" s="184"/>
      <c r="C523" s="185"/>
      <c r="D523" s="185"/>
      <c r="E523" s="185"/>
      <c r="F523" s="288"/>
      <c r="G523" s="276"/>
      <c r="H523" s="186">
        <v>72335313.260000005</v>
      </c>
      <c r="I523" s="185"/>
      <c r="J523" s="185"/>
      <c r="K523" s="196"/>
      <c r="L523" s="196"/>
      <c r="M523" s="196"/>
      <c r="N523" s="196"/>
      <c r="O523" s="196"/>
      <c r="P523" s="184"/>
      <c r="Q523" s="184"/>
    </row>
    <row r="524" spans="1:17" x14ac:dyDescent="0.25">
      <c r="A524" s="184"/>
      <c r="B524" s="184"/>
      <c r="C524" s="185"/>
      <c r="D524" s="185"/>
      <c r="E524" s="185"/>
      <c r="F524" s="288">
        <v>44935</v>
      </c>
      <c r="G524" s="286" t="s">
        <v>428</v>
      </c>
      <c r="H524" s="194">
        <f>H525-H523</f>
        <v>23535.630000010133</v>
      </c>
      <c r="I524" s="185"/>
      <c r="J524" s="185"/>
      <c r="K524" s="194"/>
      <c r="L524" s="275"/>
      <c r="M524" s="275"/>
      <c r="N524" s="275"/>
      <c r="O524" s="196"/>
      <c r="P524" s="184"/>
      <c r="Q524" s="184"/>
    </row>
    <row r="525" spans="1:17" x14ac:dyDescent="0.25">
      <c r="A525" s="184"/>
      <c r="B525" s="184"/>
      <c r="C525" s="185"/>
      <c r="D525" s="185"/>
      <c r="E525" s="185"/>
      <c r="F525" s="288"/>
      <c r="G525" s="276"/>
      <c r="H525" s="186">
        <v>72358848.890000015</v>
      </c>
      <c r="I525" s="185"/>
      <c r="J525" s="185"/>
      <c r="K525" s="185"/>
      <c r="L525" s="196"/>
      <c r="M525" s="196"/>
      <c r="N525" s="196"/>
      <c r="O525" s="196"/>
      <c r="P525" s="184"/>
      <c r="Q525" s="184"/>
    </row>
    <row r="526" spans="1:17" x14ac:dyDescent="0.25">
      <c r="A526" s="184"/>
      <c r="B526" s="184"/>
      <c r="C526" s="185"/>
      <c r="D526" s="185"/>
      <c r="E526" s="185"/>
      <c r="F526" s="288">
        <v>44943</v>
      </c>
      <c r="G526" s="286" t="s">
        <v>429</v>
      </c>
      <c r="H526" s="194">
        <f>H527-H525</f>
        <v>201212.43999999762</v>
      </c>
      <c r="I526" s="185"/>
      <c r="J526" s="185"/>
      <c r="K526" s="194"/>
      <c r="L526" s="275"/>
      <c r="M526" s="275"/>
      <c r="N526" s="275"/>
      <c r="O526" s="196"/>
      <c r="P526" s="184"/>
      <c r="Q526" s="184"/>
    </row>
    <row r="527" spans="1:17" x14ac:dyDescent="0.25">
      <c r="A527" s="184"/>
      <c r="B527" s="184"/>
      <c r="C527" s="185"/>
      <c r="D527" s="185"/>
      <c r="E527" s="185"/>
      <c r="F527" s="288"/>
      <c r="G527" s="276"/>
      <c r="H527" s="186">
        <v>72560061.330000013</v>
      </c>
      <c r="I527" s="185"/>
      <c r="J527" s="185"/>
      <c r="K527" s="185"/>
      <c r="L527" s="196"/>
      <c r="M527" s="196"/>
      <c r="N527" s="196"/>
      <c r="O527" s="196"/>
      <c r="P527" s="184"/>
      <c r="Q527" s="184"/>
    </row>
    <row r="528" spans="1:17" x14ac:dyDescent="0.25">
      <c r="A528" s="184"/>
      <c r="B528" s="184"/>
      <c r="C528" s="185"/>
      <c r="D528" s="185"/>
      <c r="E528" s="185"/>
      <c r="F528" s="288">
        <v>44951</v>
      </c>
      <c r="G528" s="286" t="s">
        <v>430</v>
      </c>
      <c r="H528" s="194">
        <f>H529-H527</f>
        <v>637606.39999999106</v>
      </c>
      <c r="I528" s="185"/>
      <c r="J528" s="185"/>
      <c r="K528" s="194"/>
      <c r="L528" s="275"/>
      <c r="M528" s="275"/>
      <c r="N528" s="275"/>
      <c r="O528" s="196"/>
      <c r="P528" s="184"/>
      <c r="Q528" s="184"/>
    </row>
    <row r="529" spans="1:17" x14ac:dyDescent="0.25">
      <c r="A529" s="184"/>
      <c r="B529" s="184"/>
      <c r="C529" s="185"/>
      <c r="D529" s="185"/>
      <c r="E529" s="185"/>
      <c r="F529" s="288"/>
      <c r="G529" s="276"/>
      <c r="H529" s="186">
        <v>73197667.730000004</v>
      </c>
      <c r="I529" s="185"/>
      <c r="J529" s="185"/>
      <c r="K529" s="185"/>
      <c r="L529" s="196"/>
      <c r="M529" s="196"/>
      <c r="N529" s="196"/>
      <c r="O529" s="196"/>
      <c r="P529" s="184"/>
      <c r="Q529" s="184"/>
    </row>
    <row r="530" spans="1:17" x14ac:dyDescent="0.25">
      <c r="A530" s="184"/>
      <c r="B530" s="184"/>
      <c r="C530" s="185"/>
      <c r="D530" s="185"/>
      <c r="E530" s="185"/>
      <c r="F530" s="288">
        <v>44956</v>
      </c>
      <c r="G530" s="286" t="s">
        <v>431</v>
      </c>
      <c r="H530" s="194">
        <f>H531-H529</f>
        <v>2576</v>
      </c>
      <c r="I530" s="185"/>
      <c r="J530" s="185"/>
      <c r="K530" s="185"/>
      <c r="L530" s="196"/>
      <c r="M530" s="196"/>
      <c r="N530" s="196"/>
      <c r="O530" s="196"/>
      <c r="P530" s="184"/>
      <c r="Q530" s="184"/>
    </row>
    <row r="531" spans="1:17" x14ac:dyDescent="0.25">
      <c r="A531" s="184"/>
      <c r="B531" s="184"/>
      <c r="C531" s="185"/>
      <c r="D531" s="185"/>
      <c r="E531" s="185"/>
      <c r="F531" s="288"/>
      <c r="G531" s="276"/>
      <c r="H531" s="186">
        <v>73200243.730000004</v>
      </c>
      <c r="I531" s="185"/>
      <c r="J531" s="185"/>
      <c r="K531" s="185"/>
      <c r="L531" s="196"/>
      <c r="M531" s="196"/>
      <c r="N531" s="196"/>
      <c r="O531" s="196"/>
      <c r="P531" s="184"/>
      <c r="Q531" s="184"/>
    </row>
    <row r="532" spans="1:17" x14ac:dyDescent="0.25">
      <c r="A532" s="184"/>
      <c r="B532" s="184"/>
      <c r="C532" s="185"/>
      <c r="D532" s="185"/>
      <c r="E532" s="185"/>
      <c r="F532" s="288">
        <v>44963</v>
      </c>
      <c r="G532" s="286" t="s">
        <v>432</v>
      </c>
      <c r="H532" s="194">
        <f>H533-H531</f>
        <v>191564.38000001013</v>
      </c>
      <c r="I532" s="185"/>
      <c r="J532" s="185"/>
      <c r="K532" s="185"/>
      <c r="L532" s="196"/>
      <c r="M532" s="196"/>
      <c r="N532" s="196"/>
      <c r="O532" s="196"/>
      <c r="P532" s="184"/>
      <c r="Q532" s="184"/>
    </row>
    <row r="533" spans="1:17" x14ac:dyDescent="0.25">
      <c r="A533" s="184"/>
      <c r="B533" s="184"/>
      <c r="C533" s="185"/>
      <c r="D533" s="185"/>
      <c r="E533" s="185"/>
      <c r="F533" s="288"/>
      <c r="G533" s="276"/>
      <c r="H533" s="186">
        <v>73391808.110000014</v>
      </c>
      <c r="I533" s="185"/>
      <c r="J533" s="185"/>
      <c r="K533" s="185"/>
      <c r="L533" s="196"/>
      <c r="M533" s="196"/>
      <c r="N533" s="196"/>
      <c r="O533" s="196"/>
      <c r="P533" s="184"/>
      <c r="Q533" s="184"/>
    </row>
    <row r="534" spans="1:17" x14ac:dyDescent="0.25">
      <c r="A534" s="184"/>
      <c r="B534" s="184"/>
      <c r="C534" s="185"/>
      <c r="D534" s="185"/>
      <c r="E534" s="185"/>
      <c r="F534" s="288">
        <v>44970</v>
      </c>
      <c r="G534" s="286" t="s">
        <v>433</v>
      </c>
      <c r="H534" s="194">
        <f>H535-H533</f>
        <v>221824.82999999821</v>
      </c>
      <c r="I534" s="185"/>
      <c r="J534" s="185"/>
      <c r="K534" s="194"/>
      <c r="L534" s="275"/>
      <c r="M534" s="275"/>
      <c r="N534" s="275"/>
      <c r="O534" s="196"/>
      <c r="P534" s="184"/>
      <c r="Q534" s="184"/>
    </row>
    <row r="535" spans="1:17" x14ac:dyDescent="0.25">
      <c r="A535" s="184"/>
      <c r="B535" s="184"/>
      <c r="C535" s="185"/>
      <c r="D535" s="185"/>
      <c r="E535" s="185"/>
      <c r="F535" s="196"/>
      <c r="G535" s="286"/>
      <c r="H535" s="186">
        <v>73613632.940000013</v>
      </c>
      <c r="I535" s="185"/>
      <c r="J535" s="185"/>
      <c r="K535" s="194"/>
      <c r="L535" s="275"/>
      <c r="M535" s="275"/>
      <c r="N535" s="275"/>
      <c r="O535" s="196"/>
      <c r="P535" s="184"/>
      <c r="Q535" s="184"/>
    </row>
    <row r="536" spans="1:17" x14ac:dyDescent="0.25">
      <c r="A536" s="184"/>
      <c r="B536" s="184"/>
      <c r="C536" s="185"/>
      <c r="D536" s="185"/>
      <c r="E536" s="185"/>
      <c r="F536" s="288">
        <v>44974</v>
      </c>
      <c r="G536" s="286" t="s">
        <v>434</v>
      </c>
      <c r="H536" s="194">
        <f>H537-H535</f>
        <v>158213.20000000298</v>
      </c>
      <c r="I536" s="185"/>
      <c r="J536" s="185"/>
      <c r="K536" s="194"/>
      <c r="L536" s="275"/>
      <c r="M536" s="275"/>
      <c r="N536" s="275"/>
      <c r="O536" s="196"/>
      <c r="P536" s="184"/>
      <c r="Q536" s="184"/>
    </row>
    <row r="537" spans="1:17" x14ac:dyDescent="0.25">
      <c r="A537" s="184"/>
      <c r="B537" s="184"/>
      <c r="C537" s="185"/>
      <c r="D537" s="185"/>
      <c r="E537" s="185"/>
      <c r="F537" s="196"/>
      <c r="G537" s="286"/>
      <c r="H537" s="186">
        <v>73771846.140000015</v>
      </c>
      <c r="I537" s="185"/>
      <c r="J537" s="185"/>
      <c r="K537" s="194"/>
      <c r="L537" s="275"/>
      <c r="M537" s="275"/>
      <c r="N537" s="275"/>
      <c r="O537" s="196"/>
      <c r="P537" s="184"/>
      <c r="Q537" s="184"/>
    </row>
    <row r="538" spans="1:17" x14ac:dyDescent="0.25">
      <c r="A538" s="184"/>
      <c r="B538" s="184"/>
      <c r="C538" s="185"/>
      <c r="D538" s="185"/>
      <c r="E538" s="185"/>
      <c r="F538" s="288">
        <v>44981</v>
      </c>
      <c r="G538" s="286" t="s">
        <v>435</v>
      </c>
      <c r="H538" s="194">
        <f>H539-H537</f>
        <v>123059.37999999523</v>
      </c>
      <c r="I538" s="185"/>
      <c r="J538" s="185"/>
      <c r="K538" s="194"/>
      <c r="L538" s="275"/>
      <c r="M538" s="275"/>
      <c r="N538" s="275"/>
      <c r="O538" s="196"/>
      <c r="P538" s="184"/>
      <c r="Q538" s="184"/>
    </row>
    <row r="539" spans="1:17" x14ac:dyDescent="0.25">
      <c r="A539" s="184"/>
      <c r="B539" s="184"/>
      <c r="C539" s="185"/>
      <c r="D539" s="185"/>
      <c r="E539" s="185"/>
      <c r="F539" s="196"/>
      <c r="G539" s="286"/>
      <c r="H539" s="186">
        <v>73894905.520000011</v>
      </c>
      <c r="I539" s="185"/>
      <c r="J539" s="185"/>
      <c r="K539" s="194"/>
      <c r="L539" s="275"/>
      <c r="M539" s="275"/>
      <c r="N539" s="275"/>
      <c r="O539" s="196"/>
      <c r="P539" s="184"/>
      <c r="Q539" s="184"/>
    </row>
    <row r="540" spans="1:17" x14ac:dyDescent="0.25">
      <c r="A540" s="184"/>
      <c r="B540" s="184"/>
      <c r="C540" s="185"/>
      <c r="D540" s="185"/>
      <c r="E540" s="185"/>
      <c r="F540" s="288">
        <v>44985</v>
      </c>
      <c r="G540" s="286" t="s">
        <v>436</v>
      </c>
      <c r="H540" s="194">
        <f>H541-H539</f>
        <v>1372104.7599999905</v>
      </c>
      <c r="I540" s="185"/>
      <c r="J540" s="185"/>
      <c r="K540" s="194"/>
      <c r="L540" s="275"/>
      <c r="M540" s="275"/>
      <c r="N540" s="275"/>
      <c r="O540" s="196"/>
      <c r="P540" s="184"/>
      <c r="Q540" s="184"/>
    </row>
    <row r="541" spans="1:17" x14ac:dyDescent="0.25">
      <c r="A541" s="184"/>
      <c r="B541" s="184"/>
      <c r="C541" s="185"/>
      <c r="D541" s="185"/>
      <c r="E541" s="185"/>
      <c r="F541" s="196"/>
      <c r="G541" s="286"/>
      <c r="H541" s="186">
        <v>75267010.280000001</v>
      </c>
      <c r="I541" s="185"/>
      <c r="J541" s="185"/>
      <c r="K541" s="194"/>
      <c r="L541" s="275"/>
      <c r="M541" s="275"/>
      <c r="N541" s="275"/>
      <c r="O541" s="196"/>
      <c r="P541" s="184"/>
      <c r="Q541" s="184"/>
    </row>
    <row r="542" spans="1:17" x14ac:dyDescent="0.25">
      <c r="A542" s="184"/>
      <c r="B542" s="184"/>
      <c r="C542" s="185"/>
      <c r="D542" s="185"/>
      <c r="E542" s="185"/>
      <c r="F542" s="288">
        <v>44985</v>
      </c>
      <c r="G542" s="275" t="s">
        <v>437</v>
      </c>
      <c r="H542" s="194">
        <f>H543-H541</f>
        <v>-6100</v>
      </c>
      <c r="I542" s="185"/>
      <c r="J542" s="185"/>
      <c r="K542" s="194"/>
      <c r="L542" s="275"/>
      <c r="M542" s="275"/>
      <c r="N542" s="275"/>
      <c r="O542" s="196"/>
      <c r="P542" s="184"/>
      <c r="Q542" s="184"/>
    </row>
    <row r="543" spans="1:17" x14ac:dyDescent="0.25">
      <c r="A543" s="184"/>
      <c r="B543" s="184"/>
      <c r="C543" s="185"/>
      <c r="D543" s="185"/>
      <c r="E543" s="185"/>
      <c r="F543" s="196"/>
      <c r="G543" s="291"/>
      <c r="H543" s="190">
        <v>75260910.280000001</v>
      </c>
      <c r="I543" s="185"/>
      <c r="J543" s="185"/>
      <c r="K543" s="185"/>
      <c r="L543" s="196"/>
      <c r="M543" s="196"/>
      <c r="N543" s="196"/>
      <c r="O543" s="196"/>
      <c r="P543" s="184"/>
      <c r="Q543" s="184"/>
    </row>
    <row r="544" spans="1:17" x14ac:dyDescent="0.25">
      <c r="A544" s="184"/>
      <c r="B544" s="184"/>
      <c r="C544" s="185"/>
      <c r="D544" s="185"/>
      <c r="E544" s="185"/>
      <c r="F544" s="288">
        <v>44991</v>
      </c>
      <c r="G544" s="286" t="s">
        <v>438</v>
      </c>
      <c r="H544" s="194">
        <f>H545-H543</f>
        <v>156097.46000000834</v>
      </c>
      <c r="I544" s="185"/>
      <c r="J544" s="185"/>
      <c r="K544" s="185"/>
      <c r="L544" s="196"/>
      <c r="M544" s="196"/>
      <c r="N544" s="196"/>
      <c r="O544" s="196"/>
      <c r="P544" s="184"/>
      <c r="Q544" s="184"/>
    </row>
    <row r="545" spans="1:17" x14ac:dyDescent="0.25">
      <c r="A545" s="184"/>
      <c r="B545" s="184"/>
      <c r="C545" s="185"/>
      <c r="D545" s="185"/>
      <c r="E545" s="185"/>
      <c r="F545" s="196"/>
      <c r="G545" s="291"/>
      <c r="H545" s="190">
        <v>75417007.74000001</v>
      </c>
      <c r="I545" s="185"/>
      <c r="J545" s="185"/>
      <c r="K545" s="185"/>
      <c r="L545" s="196"/>
      <c r="M545" s="196"/>
      <c r="N545" s="196"/>
      <c r="O545" s="196"/>
      <c r="P545" s="184"/>
      <c r="Q545" s="184"/>
    </row>
    <row r="546" spans="1:17" x14ac:dyDescent="0.25">
      <c r="A546" s="184"/>
      <c r="B546" s="184"/>
      <c r="C546" s="185"/>
      <c r="D546" s="185"/>
      <c r="E546" s="185"/>
      <c r="F546" s="288">
        <v>44992</v>
      </c>
      <c r="G546" s="291" t="s">
        <v>439</v>
      </c>
      <c r="H546" s="194">
        <f>H547-H545</f>
        <v>-1012.0300000011921</v>
      </c>
      <c r="I546" s="185"/>
      <c r="J546" s="185"/>
      <c r="K546" s="185"/>
      <c r="L546" s="196"/>
      <c r="M546" s="196"/>
      <c r="N546" s="196"/>
      <c r="O546" s="196"/>
      <c r="P546" s="184"/>
      <c r="Q546" s="184"/>
    </row>
    <row r="547" spans="1:17" x14ac:dyDescent="0.25">
      <c r="A547" s="184"/>
      <c r="B547" s="184"/>
      <c r="C547" s="185"/>
      <c r="D547" s="185"/>
      <c r="E547" s="185"/>
      <c r="F547" s="196"/>
      <c r="G547" s="291"/>
      <c r="H547" s="190">
        <v>75415995.710000008</v>
      </c>
      <c r="I547" s="185"/>
      <c r="J547" s="185"/>
      <c r="K547" s="185"/>
      <c r="L547" s="196"/>
      <c r="M547" s="196"/>
      <c r="N547" s="196"/>
      <c r="O547" s="196"/>
      <c r="P547" s="184"/>
      <c r="Q547" s="184"/>
    </row>
    <row r="548" spans="1:17" x14ac:dyDescent="0.25">
      <c r="A548" s="184"/>
      <c r="B548" s="184"/>
      <c r="C548" s="185"/>
      <c r="D548" s="185"/>
      <c r="E548" s="185"/>
      <c r="F548" s="288">
        <v>44992</v>
      </c>
      <c r="G548" s="286" t="s">
        <v>440</v>
      </c>
      <c r="H548" s="194">
        <f>H549-H547</f>
        <v>1012.0300000011921</v>
      </c>
      <c r="I548" s="185"/>
      <c r="J548" s="185"/>
      <c r="K548" s="185"/>
      <c r="L548" s="196"/>
      <c r="M548" s="196"/>
      <c r="N548" s="196"/>
      <c r="O548" s="196"/>
      <c r="P548" s="184"/>
      <c r="Q548" s="184"/>
    </row>
    <row r="549" spans="1:17" x14ac:dyDescent="0.25">
      <c r="A549" s="184"/>
      <c r="B549" s="184"/>
      <c r="C549" s="185"/>
      <c r="D549" s="185"/>
      <c r="E549" s="185"/>
      <c r="F549" s="288"/>
      <c r="G549" s="286"/>
      <c r="H549" s="190">
        <v>75417007.74000001</v>
      </c>
      <c r="I549" s="185"/>
      <c r="J549" s="185"/>
      <c r="K549" s="185"/>
      <c r="L549" s="196"/>
      <c r="M549" s="196"/>
      <c r="N549" s="196"/>
      <c r="O549" s="196"/>
      <c r="P549" s="184"/>
      <c r="Q549" s="184"/>
    </row>
    <row r="550" spans="1:17" x14ac:dyDescent="0.25">
      <c r="A550" s="184"/>
      <c r="B550" s="184"/>
      <c r="C550" s="185"/>
      <c r="D550" s="185"/>
      <c r="E550" s="185"/>
      <c r="F550" s="288">
        <v>44998</v>
      </c>
      <c r="G550" s="286" t="s">
        <v>441</v>
      </c>
      <c r="H550" s="194">
        <f>H551-H549</f>
        <v>485387.75</v>
      </c>
      <c r="I550" s="185"/>
      <c r="J550" s="185"/>
      <c r="K550" s="185"/>
      <c r="L550" s="196"/>
      <c r="M550" s="196"/>
      <c r="N550" s="196"/>
      <c r="O550" s="196"/>
      <c r="P550" s="184"/>
      <c r="Q550" s="184"/>
    </row>
    <row r="551" spans="1:17" x14ac:dyDescent="0.25">
      <c r="A551" s="184"/>
      <c r="B551" s="184"/>
      <c r="C551" s="185"/>
      <c r="D551" s="185"/>
      <c r="E551" s="185"/>
      <c r="F551" s="288"/>
      <c r="G551" s="286"/>
      <c r="H551" s="190">
        <v>75902395.49000001</v>
      </c>
      <c r="I551" s="185"/>
      <c r="J551" s="185"/>
      <c r="K551" s="185"/>
      <c r="L551" s="196"/>
      <c r="M551" s="196"/>
      <c r="N551" s="196"/>
      <c r="O551" s="196"/>
      <c r="P551" s="184"/>
      <c r="Q551" s="184"/>
    </row>
    <row r="552" spans="1:17" x14ac:dyDescent="0.25">
      <c r="A552" s="184"/>
      <c r="B552" s="184"/>
      <c r="C552" s="185"/>
      <c r="D552" s="185"/>
      <c r="E552" s="185"/>
      <c r="F552" s="288">
        <v>45002</v>
      </c>
      <c r="G552" s="286" t="s">
        <v>442</v>
      </c>
      <c r="H552" s="194">
        <f>H553-H551</f>
        <v>32475.95000000298</v>
      </c>
      <c r="I552" s="185"/>
      <c r="J552" s="185"/>
      <c r="K552" s="185"/>
      <c r="L552" s="196"/>
      <c r="M552" s="196"/>
      <c r="N552" s="196"/>
      <c r="O552" s="196"/>
      <c r="P552" s="184"/>
      <c r="Q552" s="184"/>
    </row>
    <row r="553" spans="1:17" x14ac:dyDescent="0.25">
      <c r="A553" s="184"/>
      <c r="B553" s="184"/>
      <c r="C553" s="185"/>
      <c r="D553" s="185"/>
      <c r="E553" s="185"/>
      <c r="F553" s="288"/>
      <c r="G553" s="286"/>
      <c r="H553" s="190">
        <v>75934871.440000013</v>
      </c>
      <c r="I553" s="185"/>
      <c r="J553" s="185"/>
      <c r="K553" s="185"/>
      <c r="L553" s="196"/>
      <c r="M553" s="196"/>
      <c r="N553" s="196"/>
      <c r="O553" s="196"/>
      <c r="P553" s="184"/>
      <c r="Q553" s="184"/>
    </row>
    <row r="554" spans="1:17" x14ac:dyDescent="0.25">
      <c r="A554" s="184"/>
      <c r="B554" s="184"/>
      <c r="C554" s="185"/>
      <c r="D554" s="185"/>
      <c r="E554" s="185"/>
      <c r="F554" s="288">
        <v>45012</v>
      </c>
      <c r="G554" s="286" t="s">
        <v>443</v>
      </c>
      <c r="H554" s="194">
        <f>H555-H553</f>
        <v>1046761.7499999851</v>
      </c>
      <c r="I554" s="185"/>
      <c r="J554" s="185"/>
      <c r="K554" s="185"/>
      <c r="L554" s="196"/>
      <c r="M554" s="196"/>
      <c r="N554" s="196"/>
      <c r="O554" s="196"/>
      <c r="P554" s="184"/>
      <c r="Q554" s="184"/>
    </row>
    <row r="555" spans="1:17" x14ac:dyDescent="0.25">
      <c r="A555" s="184"/>
      <c r="B555" s="184"/>
      <c r="C555" s="185"/>
      <c r="D555" s="185"/>
      <c r="E555" s="185"/>
      <c r="F555" s="288"/>
      <c r="G555" s="286"/>
      <c r="H555" s="190">
        <v>76981633.189999998</v>
      </c>
      <c r="I555" s="185"/>
      <c r="J555" s="185"/>
      <c r="K555" s="185"/>
      <c r="L555" s="196"/>
      <c r="M555" s="196"/>
      <c r="N555" s="196"/>
      <c r="O555" s="196"/>
      <c r="P555" s="184"/>
      <c r="Q555" s="184"/>
    </row>
    <row r="556" spans="1:17" x14ac:dyDescent="0.25">
      <c r="A556" s="184"/>
      <c r="B556" s="184"/>
      <c r="C556" s="185"/>
      <c r="D556" s="185"/>
      <c r="E556" s="185"/>
      <c r="F556" s="288">
        <v>45036</v>
      </c>
      <c r="G556" s="286" t="s">
        <v>444</v>
      </c>
      <c r="H556" s="194">
        <f>H557-H555</f>
        <v>104233.43000000715</v>
      </c>
      <c r="I556" s="185"/>
      <c r="J556" s="185"/>
      <c r="K556" s="185"/>
      <c r="L556" s="196"/>
      <c r="M556" s="196"/>
      <c r="N556" s="196"/>
      <c r="O556" s="196"/>
      <c r="P556" s="184"/>
      <c r="Q556" s="184"/>
    </row>
    <row r="557" spans="1:17" x14ac:dyDescent="0.25">
      <c r="A557" s="184"/>
      <c r="B557" s="184"/>
      <c r="C557" s="185"/>
      <c r="D557" s="185"/>
      <c r="E557" s="185"/>
      <c r="F557" s="196"/>
      <c r="G557" s="291"/>
      <c r="H557" s="190">
        <v>77085866.620000005</v>
      </c>
      <c r="I557" s="185"/>
      <c r="J557" s="185"/>
      <c r="K557" s="185"/>
      <c r="L557" s="196"/>
      <c r="M557" s="196"/>
      <c r="N557" s="196"/>
      <c r="O557" s="196"/>
      <c r="P557" s="184"/>
      <c r="Q557" s="184"/>
    </row>
    <row r="558" spans="1:17" x14ac:dyDescent="0.25">
      <c r="A558" s="184"/>
      <c r="B558" s="184"/>
      <c r="C558" s="185"/>
      <c r="D558" s="185"/>
      <c r="E558" s="185"/>
      <c r="F558" s="288">
        <v>45064</v>
      </c>
      <c r="G558" s="286" t="s">
        <v>445</v>
      </c>
      <c r="H558" s="194">
        <f>H559-H557</f>
        <v>1287764.2600000054</v>
      </c>
      <c r="I558" s="185"/>
      <c r="J558" s="185"/>
      <c r="K558" s="194"/>
      <c r="L558" s="275"/>
      <c r="M558" s="275"/>
      <c r="N558" s="275"/>
      <c r="O558" s="196"/>
      <c r="P558" s="184"/>
      <c r="Q558" s="184"/>
    </row>
    <row r="559" spans="1:17" x14ac:dyDescent="0.25">
      <c r="A559" s="184"/>
      <c r="B559" s="184"/>
      <c r="C559" s="185"/>
      <c r="D559" s="185"/>
      <c r="E559" s="185"/>
      <c r="F559" s="196"/>
      <c r="G559" s="184"/>
      <c r="H559" s="189">
        <v>78373630.88000001</v>
      </c>
      <c r="I559" s="191"/>
      <c r="J559" s="191"/>
      <c r="K559" s="191"/>
      <c r="L559" s="196"/>
      <c r="M559" s="196"/>
      <c r="N559" s="196"/>
      <c r="O559" s="196"/>
      <c r="P559" s="184"/>
      <c r="Q559" s="184"/>
    </row>
    <row r="560" spans="1:17" x14ac:dyDescent="0.25">
      <c r="A560" s="184"/>
      <c r="B560" s="184"/>
      <c r="C560" s="185"/>
      <c r="D560" s="185"/>
      <c r="E560" s="185"/>
      <c r="F560" s="288">
        <v>45071</v>
      </c>
      <c r="G560" s="286" t="s">
        <v>446</v>
      </c>
      <c r="H560" s="194">
        <f>H561-H559</f>
        <v>51221.820000007749</v>
      </c>
      <c r="I560" s="191"/>
      <c r="J560" s="191"/>
      <c r="K560" s="194"/>
      <c r="L560" s="275"/>
      <c r="M560" s="275"/>
      <c r="N560" s="275"/>
      <c r="O560" s="196"/>
      <c r="P560" s="184"/>
      <c r="Q560" s="184"/>
    </row>
    <row r="561" spans="1:17" x14ac:dyDescent="0.25">
      <c r="A561" s="184"/>
      <c r="B561" s="184"/>
      <c r="C561" s="185"/>
      <c r="D561" s="185"/>
      <c r="E561" s="185"/>
      <c r="F561" s="196"/>
      <c r="G561" s="196"/>
      <c r="H561" s="292">
        <v>78424852.700000018</v>
      </c>
      <c r="I561" s="191"/>
      <c r="J561" s="191"/>
      <c r="K561" s="191"/>
      <c r="L561" s="196"/>
      <c r="M561" s="196"/>
      <c r="N561" s="196"/>
      <c r="O561" s="196"/>
      <c r="P561" s="184"/>
      <c r="Q561" s="184"/>
    </row>
    <row r="562" spans="1:17" x14ac:dyDescent="0.25">
      <c r="A562" s="184"/>
      <c r="B562" s="184"/>
      <c r="C562" s="185"/>
      <c r="D562" s="185"/>
      <c r="E562" s="185"/>
      <c r="F562" s="288">
        <v>45083</v>
      </c>
      <c r="G562" s="286" t="s">
        <v>447</v>
      </c>
      <c r="H562" s="194">
        <f>H563-H561</f>
        <v>3261405.4099999964</v>
      </c>
      <c r="I562" s="185"/>
      <c r="J562" s="185"/>
      <c r="K562" s="194"/>
      <c r="L562" s="275"/>
      <c r="M562" s="275"/>
      <c r="N562" s="275"/>
      <c r="O562" s="196"/>
      <c r="P562" s="184"/>
      <c r="Q562" s="184"/>
    </row>
    <row r="563" spans="1:17" x14ac:dyDescent="0.25">
      <c r="A563" s="184"/>
      <c r="B563" s="184"/>
      <c r="C563" s="185"/>
      <c r="D563" s="185"/>
      <c r="E563" s="185"/>
      <c r="F563" s="196"/>
      <c r="G563" s="293"/>
      <c r="H563" s="194">
        <v>81686258.110000014</v>
      </c>
      <c r="I563" s="185"/>
      <c r="J563" s="185"/>
      <c r="K563" s="185"/>
      <c r="L563" s="196"/>
      <c r="M563" s="196"/>
      <c r="N563" s="196"/>
      <c r="O563" s="196"/>
      <c r="P563" s="184"/>
      <c r="Q563" s="184"/>
    </row>
    <row r="564" spans="1:17" x14ac:dyDescent="0.25">
      <c r="A564" s="184"/>
      <c r="B564" s="184"/>
      <c r="C564" s="185"/>
      <c r="D564" s="185"/>
      <c r="E564" s="185"/>
      <c r="F564" s="288">
        <v>45089</v>
      </c>
      <c r="G564" s="286" t="s">
        <v>448</v>
      </c>
      <c r="H564" s="194">
        <f>H565-H563</f>
        <v>2023124.599999994</v>
      </c>
      <c r="I564" s="185"/>
      <c r="J564" s="185"/>
      <c r="K564" s="185"/>
      <c r="L564" s="196"/>
      <c r="M564" s="196"/>
      <c r="N564" s="196"/>
      <c r="O564" s="196"/>
      <c r="P564" s="184"/>
      <c r="Q564" s="184"/>
    </row>
    <row r="565" spans="1:17" x14ac:dyDescent="0.25">
      <c r="A565" s="184"/>
      <c r="B565" s="184"/>
      <c r="C565" s="185"/>
      <c r="D565" s="185"/>
      <c r="E565" s="185"/>
      <c r="F565" s="196"/>
      <c r="G565" s="293"/>
      <c r="H565" s="194">
        <v>83709382.710000008</v>
      </c>
      <c r="I565" s="185"/>
      <c r="J565" s="185"/>
      <c r="K565" s="185"/>
      <c r="L565" s="196"/>
      <c r="M565" s="196"/>
      <c r="N565" s="196"/>
      <c r="O565" s="196"/>
      <c r="P565" s="184"/>
      <c r="Q565" s="184"/>
    </row>
    <row r="566" spans="1:17" x14ac:dyDescent="0.25">
      <c r="A566" s="184"/>
      <c r="B566" s="184"/>
      <c r="C566" s="185"/>
      <c r="D566" s="185"/>
      <c r="E566" s="185"/>
      <c r="F566" s="288">
        <v>45099</v>
      </c>
      <c r="G566" s="286" t="s">
        <v>449</v>
      </c>
      <c r="H566" s="194">
        <f>H567-H565</f>
        <v>1487245.1300000101</v>
      </c>
      <c r="I566" s="185"/>
      <c r="J566" s="185"/>
      <c r="K566" s="185"/>
      <c r="L566" s="196"/>
      <c r="M566" s="196"/>
      <c r="N566" s="196"/>
      <c r="O566" s="196"/>
      <c r="P566" s="184"/>
      <c r="Q566" s="184"/>
    </row>
    <row r="567" spans="1:17" x14ac:dyDescent="0.25">
      <c r="A567" s="184"/>
      <c r="B567" s="184"/>
      <c r="C567" s="185"/>
      <c r="D567" s="185"/>
      <c r="E567" s="185"/>
      <c r="F567" s="196"/>
      <c r="G567" s="293"/>
      <c r="H567" s="194">
        <v>85196627.840000018</v>
      </c>
      <c r="I567" s="185"/>
      <c r="J567" s="185"/>
      <c r="K567" s="185"/>
      <c r="L567" s="196"/>
      <c r="M567" s="196"/>
      <c r="N567" s="196"/>
      <c r="O567" s="196"/>
      <c r="P567" s="184"/>
      <c r="Q567" s="184"/>
    </row>
    <row r="568" spans="1:17" x14ac:dyDescent="0.25">
      <c r="A568" s="184"/>
      <c r="B568" s="184"/>
      <c r="C568" s="185"/>
      <c r="D568" s="185"/>
      <c r="E568" s="185"/>
      <c r="F568" s="288">
        <v>45114</v>
      </c>
      <c r="G568" s="286" t="s">
        <v>450</v>
      </c>
      <c r="H568" s="194">
        <f>H569-H567</f>
        <v>1327161.0199999958</v>
      </c>
      <c r="I568" s="185"/>
      <c r="J568" s="185"/>
      <c r="K568" s="185"/>
      <c r="L568" s="196"/>
      <c r="M568" s="196"/>
      <c r="N568" s="196"/>
      <c r="O568" s="196"/>
      <c r="P568" s="184"/>
      <c r="Q568" s="184"/>
    </row>
    <row r="569" spans="1:17" x14ac:dyDescent="0.25">
      <c r="A569" s="184"/>
      <c r="B569" s="184"/>
      <c r="C569" s="185"/>
      <c r="D569" s="185"/>
      <c r="E569" s="185"/>
      <c r="F569" s="196"/>
      <c r="G569" s="293"/>
      <c r="H569" s="194">
        <v>86523788.860000014</v>
      </c>
      <c r="I569" s="185"/>
      <c r="J569" s="185"/>
      <c r="K569" s="185"/>
      <c r="L569" s="196"/>
      <c r="M569" s="196"/>
      <c r="N569" s="196"/>
      <c r="O569" s="196"/>
      <c r="P569" s="184"/>
      <c r="Q569" s="184"/>
    </row>
    <row r="570" spans="1:17" x14ac:dyDescent="0.25">
      <c r="A570" s="184"/>
      <c r="B570" s="184"/>
      <c r="C570" s="185"/>
      <c r="D570" s="185"/>
      <c r="E570" s="185"/>
      <c r="F570" s="288">
        <v>45125</v>
      </c>
      <c r="G570" s="293" t="s">
        <v>451</v>
      </c>
      <c r="H570" s="194">
        <f>H571-H569</f>
        <v>950516.68000000715</v>
      </c>
      <c r="I570" s="185"/>
      <c r="J570" s="185"/>
      <c r="K570" s="185"/>
      <c r="L570" s="196"/>
      <c r="M570" s="196"/>
      <c r="N570" s="196"/>
      <c r="O570" s="196"/>
      <c r="P570" s="184"/>
      <c r="Q570" s="184"/>
    </row>
    <row r="571" spans="1:17" x14ac:dyDescent="0.25">
      <c r="A571" s="184"/>
      <c r="B571" s="184"/>
      <c r="C571" s="185"/>
      <c r="D571" s="185"/>
      <c r="E571" s="185"/>
      <c r="F571" s="196"/>
      <c r="G571" s="294"/>
      <c r="H571" s="185">
        <v>87474305.540000021</v>
      </c>
      <c r="I571" s="185"/>
      <c r="J571" s="185"/>
      <c r="K571" s="194"/>
      <c r="L571" s="275"/>
      <c r="M571" s="275"/>
      <c r="N571" s="275"/>
      <c r="O571" s="196"/>
      <c r="P571" s="184"/>
      <c r="Q571" s="184"/>
    </row>
    <row r="572" spans="1:17" x14ac:dyDescent="0.25">
      <c r="A572" s="184"/>
      <c r="B572" s="184"/>
      <c r="C572" s="185"/>
      <c r="D572" s="185"/>
      <c r="E572" s="185"/>
      <c r="F572" s="288">
        <v>45127</v>
      </c>
      <c r="G572" s="293" t="s">
        <v>452</v>
      </c>
      <c r="H572" s="194">
        <f>H573-H571</f>
        <v>25155.279999986291</v>
      </c>
      <c r="I572" s="185"/>
      <c r="J572" s="295"/>
      <c r="K572" s="194"/>
      <c r="L572" s="275"/>
      <c r="M572" s="275"/>
      <c r="N572" s="275"/>
      <c r="O572" s="196"/>
      <c r="P572" s="184"/>
      <c r="Q572" s="184"/>
    </row>
    <row r="573" spans="1:17" x14ac:dyDescent="0.25">
      <c r="A573" s="184"/>
      <c r="B573" s="184"/>
      <c r="C573" s="185"/>
      <c r="D573" s="185"/>
      <c r="E573" s="185"/>
      <c r="F573" s="196"/>
      <c r="G573" s="294"/>
      <c r="H573" s="296">
        <v>87499460.820000008</v>
      </c>
      <c r="I573" s="185"/>
      <c r="J573" s="296"/>
      <c r="K573" s="194"/>
      <c r="L573" s="275"/>
      <c r="M573" s="275"/>
      <c r="N573" s="275"/>
      <c r="O573" s="196"/>
      <c r="P573" s="184"/>
      <c r="Q573" s="184"/>
    </row>
    <row r="574" spans="1:17" x14ac:dyDescent="0.25">
      <c r="A574" s="184"/>
      <c r="B574" s="184"/>
      <c r="C574" s="185"/>
      <c r="D574" s="185"/>
      <c r="E574" s="185"/>
      <c r="F574" s="288">
        <v>45142</v>
      </c>
      <c r="G574" s="293" t="s">
        <v>493</v>
      </c>
      <c r="H574" s="194">
        <f>H575-H573</f>
        <v>2177558.8700000048</v>
      </c>
      <c r="I574" s="185"/>
      <c r="J574" s="297"/>
      <c r="K574" s="194"/>
      <c r="L574" s="275"/>
      <c r="M574" s="275"/>
      <c r="N574" s="275"/>
      <c r="O574" s="196"/>
      <c r="P574" s="184"/>
      <c r="Q574" s="184"/>
    </row>
    <row r="575" spans="1:17" x14ac:dyDescent="0.25">
      <c r="A575" s="184"/>
      <c r="B575" s="184"/>
      <c r="C575" s="185"/>
      <c r="D575" s="185"/>
      <c r="E575" s="185"/>
      <c r="F575" s="196"/>
      <c r="G575" s="294"/>
      <c r="H575" s="194">
        <v>89677019.690000013</v>
      </c>
      <c r="I575" s="185"/>
      <c r="J575" s="185"/>
      <c r="K575" s="194"/>
      <c r="L575" s="275"/>
      <c r="M575" s="275"/>
      <c r="N575" s="275"/>
      <c r="O575" s="196"/>
      <c r="P575" s="184"/>
      <c r="Q575" s="184"/>
    </row>
    <row r="576" spans="1:17" x14ac:dyDescent="0.25">
      <c r="A576" s="184"/>
      <c r="B576" s="184"/>
      <c r="C576" s="185"/>
      <c r="D576" s="185"/>
      <c r="E576" s="185"/>
      <c r="F576" s="288">
        <v>45149</v>
      </c>
      <c r="G576" s="335" t="s">
        <v>494</v>
      </c>
      <c r="H576" s="194">
        <f>H577-H575</f>
        <v>-32989.34999999404</v>
      </c>
      <c r="I576" s="185"/>
      <c r="J576" s="186" t="s">
        <v>524</v>
      </c>
      <c r="K576" s="194"/>
      <c r="L576" s="275"/>
      <c r="M576" s="275"/>
      <c r="N576" s="275"/>
      <c r="O576" s="196"/>
      <c r="P576" s="184"/>
      <c r="Q576" s="184"/>
    </row>
    <row r="577" spans="1:17" x14ac:dyDescent="0.25">
      <c r="A577" s="184"/>
      <c r="B577" s="184"/>
      <c r="C577" s="185"/>
      <c r="D577" s="185"/>
      <c r="E577" s="185"/>
      <c r="F577" s="196"/>
      <c r="G577" s="294"/>
      <c r="H577" s="185">
        <v>89644030.340000018</v>
      </c>
      <c r="I577" s="185"/>
      <c r="J577" s="185"/>
      <c r="K577" s="194"/>
      <c r="L577" s="275"/>
      <c r="M577" s="275"/>
      <c r="N577" s="275"/>
      <c r="O577" s="196"/>
      <c r="P577" s="184"/>
      <c r="Q577" s="184"/>
    </row>
    <row r="578" spans="1:17" x14ac:dyDescent="0.25">
      <c r="A578" s="184"/>
      <c r="B578" s="184"/>
      <c r="C578" s="185"/>
      <c r="D578" s="185"/>
      <c r="E578" s="185"/>
      <c r="F578" s="288">
        <v>45152</v>
      </c>
      <c r="G578" s="293" t="s">
        <v>496</v>
      </c>
      <c r="H578" s="194">
        <f>H579-H577</f>
        <v>32989.34999999404</v>
      </c>
      <c r="I578" s="185"/>
      <c r="J578" s="185" t="s">
        <v>525</v>
      </c>
      <c r="K578" s="185"/>
      <c r="L578" s="196"/>
      <c r="M578" s="196"/>
      <c r="N578" s="196"/>
      <c r="O578" s="196"/>
      <c r="P578" s="184"/>
      <c r="Q578" s="184"/>
    </row>
    <row r="579" spans="1:17" x14ac:dyDescent="0.25">
      <c r="A579" s="184"/>
      <c r="B579" s="184"/>
      <c r="C579" s="185"/>
      <c r="D579" s="185"/>
      <c r="E579" s="185"/>
      <c r="F579" s="196"/>
      <c r="G579" s="196"/>
      <c r="H579" s="186">
        <v>89677019.690000013</v>
      </c>
      <c r="I579" s="185"/>
      <c r="J579" s="185"/>
      <c r="K579" s="194"/>
      <c r="L579" s="275"/>
      <c r="M579" s="275"/>
      <c r="N579" s="275"/>
      <c r="O579" s="196"/>
      <c r="P579" s="184"/>
      <c r="Q579" s="184"/>
    </row>
    <row r="580" spans="1:17" x14ac:dyDescent="0.25">
      <c r="A580" s="184"/>
      <c r="B580" s="184"/>
      <c r="C580" s="185"/>
      <c r="D580" s="185"/>
      <c r="E580" s="185"/>
      <c r="F580" s="288">
        <v>45152</v>
      </c>
      <c r="G580" s="293" t="s">
        <v>498</v>
      </c>
      <c r="H580" s="194">
        <f>H581-H579</f>
        <v>806749.12000000477</v>
      </c>
      <c r="I580" s="185"/>
      <c r="J580" s="185"/>
      <c r="K580" s="185"/>
      <c r="L580" s="196"/>
      <c r="M580" s="196"/>
      <c r="N580" s="196"/>
      <c r="O580" s="196"/>
      <c r="P580" s="184"/>
      <c r="Q580" s="184"/>
    </row>
    <row r="581" spans="1:17" x14ac:dyDescent="0.25">
      <c r="A581" s="184"/>
      <c r="B581" s="184"/>
      <c r="C581" s="185"/>
      <c r="D581" s="185"/>
      <c r="E581" s="185"/>
      <c r="F581" s="196"/>
      <c r="G581" s="196"/>
      <c r="H581" s="186">
        <v>90483768.810000017</v>
      </c>
      <c r="I581" s="185"/>
      <c r="J581" s="185"/>
      <c r="K581" s="194"/>
      <c r="L581" s="287"/>
      <c r="M581" s="287"/>
      <c r="N581" s="287"/>
      <c r="O581" s="196"/>
      <c r="P581" s="184"/>
      <c r="Q581" s="184"/>
    </row>
    <row r="582" spans="1:17" x14ac:dyDescent="0.25">
      <c r="A582" s="184"/>
      <c r="B582" s="184"/>
      <c r="C582" s="185"/>
      <c r="D582" s="185"/>
      <c r="E582" s="185"/>
      <c r="F582" s="288">
        <v>45159</v>
      </c>
      <c r="G582" s="293" t="s">
        <v>526</v>
      </c>
      <c r="H582" s="186">
        <f>H583-H581</f>
        <v>1156164.3799999952</v>
      </c>
      <c r="I582" s="185"/>
      <c r="J582" s="185"/>
      <c r="K582" s="185"/>
      <c r="L582" s="196"/>
      <c r="M582" s="196"/>
      <c r="N582" s="196"/>
      <c r="O582" s="196"/>
      <c r="P582" s="184"/>
      <c r="Q582" s="184"/>
    </row>
    <row r="583" spans="1:17" x14ac:dyDescent="0.25">
      <c r="A583" s="184"/>
      <c r="B583" s="184"/>
      <c r="C583" s="185"/>
      <c r="D583" s="185"/>
      <c r="E583" s="185"/>
      <c r="F583" s="196"/>
      <c r="G583" s="196"/>
      <c r="H583" s="186">
        <v>91639933.190000013</v>
      </c>
      <c r="I583" s="185"/>
      <c r="J583" s="185"/>
      <c r="K583" s="194"/>
      <c r="L583" s="275"/>
      <c r="M583" s="275"/>
      <c r="N583" s="275"/>
      <c r="O583" s="196"/>
      <c r="P583" s="184"/>
      <c r="Q583" s="184"/>
    </row>
    <row r="584" spans="1:17" x14ac:dyDescent="0.25">
      <c r="A584" s="184"/>
      <c r="B584" s="184"/>
      <c r="C584" s="185"/>
      <c r="D584" s="185"/>
      <c r="E584" s="185"/>
      <c r="F584" s="288">
        <v>45163</v>
      </c>
      <c r="G584" s="293" t="s">
        <v>527</v>
      </c>
      <c r="H584" s="186">
        <f>H585-H583</f>
        <v>148935.10000000894</v>
      </c>
      <c r="I584" s="185"/>
      <c r="J584" s="185"/>
      <c r="K584" s="194"/>
      <c r="L584" s="275"/>
      <c r="M584" s="275"/>
      <c r="N584" s="275"/>
      <c r="O584" s="196"/>
      <c r="P584" s="184"/>
      <c r="Q584" s="184"/>
    </row>
    <row r="585" spans="1:17" x14ac:dyDescent="0.25">
      <c r="A585" s="184"/>
      <c r="B585" s="184"/>
      <c r="C585" s="185"/>
      <c r="D585" s="185"/>
      <c r="E585" s="185"/>
      <c r="F585" s="196"/>
      <c r="G585" s="196"/>
      <c r="H585" s="186">
        <v>91788868.290000021</v>
      </c>
      <c r="I585" s="185"/>
      <c r="J585" s="185"/>
      <c r="K585" s="194"/>
      <c r="L585" s="275"/>
      <c r="M585" s="275"/>
      <c r="N585" s="275"/>
      <c r="O585" s="196"/>
      <c r="P585" s="184"/>
      <c r="Q585" s="184"/>
    </row>
    <row r="586" spans="1:17" x14ac:dyDescent="0.25">
      <c r="A586" s="184"/>
      <c r="B586" s="184"/>
      <c r="C586" s="185"/>
      <c r="D586" s="185"/>
      <c r="E586" s="185"/>
      <c r="F586" s="288">
        <v>45168</v>
      </c>
      <c r="G586" s="293" t="s">
        <v>528</v>
      </c>
      <c r="H586" s="186">
        <f>H587-H585</f>
        <v>84368</v>
      </c>
      <c r="I586" s="185"/>
      <c r="J586" s="185"/>
      <c r="K586" s="194"/>
      <c r="L586" s="275"/>
      <c r="M586" s="275"/>
      <c r="N586" s="275"/>
      <c r="O586" s="196"/>
      <c r="P586" s="184"/>
      <c r="Q586" s="184"/>
    </row>
    <row r="587" spans="1:17" x14ac:dyDescent="0.25">
      <c r="A587" s="184"/>
      <c r="B587" s="184"/>
      <c r="C587" s="185"/>
      <c r="D587" s="185"/>
      <c r="E587" s="185"/>
      <c r="F587" s="196"/>
      <c r="G587" s="196"/>
      <c r="H587" s="186">
        <v>91873236.290000021</v>
      </c>
      <c r="I587" s="185"/>
      <c r="J587" s="185"/>
      <c r="K587" s="194"/>
      <c r="L587" s="275"/>
      <c r="M587" s="275"/>
      <c r="N587" s="275"/>
      <c r="O587" s="196"/>
      <c r="P587" s="184"/>
      <c r="Q587" s="184"/>
    </row>
    <row r="588" spans="1:17" x14ac:dyDescent="0.25">
      <c r="A588" s="184"/>
      <c r="B588" s="184"/>
      <c r="C588" s="185"/>
      <c r="D588" s="185"/>
      <c r="E588" s="185"/>
      <c r="F588" s="288">
        <v>45169</v>
      </c>
      <c r="G588" s="293" t="s">
        <v>529</v>
      </c>
      <c r="H588" s="186">
        <f>H589-H587</f>
        <v>953872.83999998868</v>
      </c>
      <c r="I588" s="185"/>
      <c r="J588" s="185"/>
      <c r="K588" s="194"/>
      <c r="L588" s="275"/>
      <c r="M588" s="275"/>
      <c r="N588" s="275"/>
      <c r="O588" s="196"/>
      <c r="P588" s="184"/>
      <c r="Q588" s="184"/>
    </row>
    <row r="589" spans="1:17" x14ac:dyDescent="0.25">
      <c r="A589" s="184"/>
      <c r="B589" s="184"/>
      <c r="C589" s="185"/>
      <c r="D589" s="185"/>
      <c r="E589" s="185"/>
      <c r="F589" s="196"/>
      <c r="G589" s="196"/>
      <c r="H589" s="186">
        <v>92827109.13000001</v>
      </c>
      <c r="I589" s="185"/>
      <c r="J589" s="185"/>
      <c r="K589" s="194"/>
      <c r="L589" s="275"/>
      <c r="M589" s="275"/>
      <c r="N589" s="275"/>
      <c r="O589" s="196"/>
      <c r="P589" s="184"/>
      <c r="Q589" s="184"/>
    </row>
    <row r="590" spans="1:17" x14ac:dyDescent="0.25">
      <c r="A590" s="184"/>
      <c r="B590" s="184"/>
      <c r="C590" s="185"/>
      <c r="D590" s="185"/>
      <c r="E590" s="185"/>
      <c r="F590" s="288">
        <v>45176</v>
      </c>
      <c r="G590" s="293" t="s">
        <v>530</v>
      </c>
      <c r="H590" s="186">
        <f>H591-H589</f>
        <v>962969.28000000119</v>
      </c>
      <c r="I590" s="185"/>
      <c r="J590" s="185"/>
      <c r="K590" s="194"/>
      <c r="L590" s="275"/>
      <c r="M590" s="275"/>
      <c r="N590" s="275"/>
      <c r="O590" s="196"/>
      <c r="P590" s="184"/>
      <c r="Q590" s="184"/>
    </row>
    <row r="591" spans="1:17" x14ac:dyDescent="0.25">
      <c r="A591" s="184"/>
      <c r="B591" s="184"/>
      <c r="C591" s="185"/>
      <c r="D591" s="185"/>
      <c r="E591" s="185"/>
      <c r="F591" s="196"/>
      <c r="G591" s="196"/>
      <c r="H591" s="186">
        <v>93790078.410000011</v>
      </c>
      <c r="I591" s="185"/>
      <c r="J591" s="185"/>
      <c r="K591" s="194"/>
      <c r="L591" s="275"/>
      <c r="M591" s="275"/>
      <c r="N591" s="275"/>
      <c r="O591" s="196"/>
      <c r="P591" s="184"/>
      <c r="Q591" s="184"/>
    </row>
    <row r="592" spans="1:17" x14ac:dyDescent="0.25">
      <c r="A592" s="184"/>
      <c r="B592" s="184"/>
      <c r="C592" s="185"/>
      <c r="D592" s="185"/>
      <c r="E592" s="185"/>
      <c r="F592" s="288">
        <v>45184</v>
      </c>
      <c r="G592" s="293" t="s">
        <v>531</v>
      </c>
      <c r="H592" s="186">
        <f>H593-H591</f>
        <v>488689.38000001013</v>
      </c>
      <c r="I592" s="185"/>
      <c r="J592" s="185"/>
      <c r="K592" s="194"/>
      <c r="L592" s="275"/>
      <c r="M592" s="275"/>
      <c r="N592" s="275"/>
      <c r="O592" s="196"/>
      <c r="P592" s="184"/>
      <c r="Q592" s="184"/>
    </row>
    <row r="593" spans="1:17" x14ac:dyDescent="0.25">
      <c r="A593" s="184"/>
      <c r="B593" s="184"/>
      <c r="C593" s="185"/>
      <c r="D593" s="185"/>
      <c r="E593" s="185"/>
      <c r="F593" s="196"/>
      <c r="G593" s="196"/>
      <c r="H593" s="225">
        <v>94278767.790000021</v>
      </c>
      <c r="I593" s="185"/>
      <c r="J593" s="185"/>
      <c r="K593" s="194"/>
      <c r="L593" s="275"/>
      <c r="M593" s="275"/>
      <c r="N593" s="275"/>
      <c r="O593" s="196"/>
      <c r="P593" s="184"/>
      <c r="Q593" s="184"/>
    </row>
    <row r="594" spans="1:17" x14ac:dyDescent="0.25">
      <c r="A594" s="184"/>
      <c r="B594" s="184"/>
      <c r="C594" s="185"/>
      <c r="D594" s="185"/>
      <c r="E594" s="185"/>
      <c r="F594" s="288">
        <v>45191</v>
      </c>
      <c r="G594" s="293" t="s">
        <v>532</v>
      </c>
      <c r="H594" s="186">
        <f>H595-H593</f>
        <v>1435749.6499999911</v>
      </c>
      <c r="I594" s="185"/>
      <c r="J594" s="185"/>
      <c r="K594" s="194"/>
      <c r="L594" s="275"/>
      <c r="M594" s="275"/>
      <c r="N594" s="275"/>
      <c r="O594" s="196"/>
      <c r="P594" s="184"/>
      <c r="Q594" s="184"/>
    </row>
    <row r="595" spans="1:17" x14ac:dyDescent="0.25">
      <c r="A595" s="184"/>
      <c r="B595" s="184"/>
      <c r="C595" s="185"/>
      <c r="D595" s="185"/>
      <c r="E595" s="185"/>
      <c r="F595" s="196"/>
      <c r="G595" s="196"/>
      <c r="H595" s="186">
        <v>95714517.440000013</v>
      </c>
      <c r="I595" s="185"/>
      <c r="J595" s="185"/>
      <c r="K595" s="194"/>
      <c r="L595" s="275"/>
      <c r="M595" s="275"/>
      <c r="N595" s="275"/>
      <c r="O595" s="196"/>
      <c r="P595" s="184"/>
      <c r="Q595" s="184"/>
    </row>
    <row r="596" spans="1:17" x14ac:dyDescent="0.25">
      <c r="A596" s="184"/>
      <c r="B596" s="184"/>
      <c r="C596" s="185"/>
      <c r="D596" s="185"/>
      <c r="E596" s="185"/>
      <c r="F596" s="288">
        <v>45195</v>
      </c>
      <c r="G596" s="276" t="s">
        <v>419</v>
      </c>
      <c r="H596" s="186">
        <f>H597-H595</f>
        <v>-67293.250000014901</v>
      </c>
      <c r="I596" s="185"/>
      <c r="J596" s="185" t="s">
        <v>533</v>
      </c>
      <c r="K596" s="194"/>
      <c r="L596" s="275"/>
      <c r="M596" s="275"/>
      <c r="N596" s="275"/>
      <c r="O596" s="196"/>
      <c r="P596" s="184"/>
      <c r="Q596" s="184"/>
    </row>
    <row r="597" spans="1:17" x14ac:dyDescent="0.25">
      <c r="A597" s="184"/>
      <c r="B597" s="184"/>
      <c r="C597" s="185"/>
      <c r="D597" s="185"/>
      <c r="E597" s="185"/>
      <c r="F597" s="196"/>
      <c r="G597" s="196"/>
      <c r="H597" s="186">
        <v>95647224.189999998</v>
      </c>
      <c r="I597" s="185"/>
      <c r="J597" s="185"/>
      <c r="K597" s="194"/>
      <c r="L597" s="275"/>
      <c r="M597" s="275"/>
      <c r="N597" s="275"/>
      <c r="O597" s="196"/>
      <c r="P597" s="184"/>
      <c r="Q597" s="184"/>
    </row>
    <row r="598" spans="1:17" x14ac:dyDescent="0.25">
      <c r="A598" s="184"/>
      <c r="B598" s="184"/>
      <c r="C598" s="185"/>
      <c r="D598" s="185"/>
      <c r="E598" s="185"/>
      <c r="F598" s="288">
        <v>45198</v>
      </c>
      <c r="G598" s="293" t="s">
        <v>534</v>
      </c>
      <c r="H598" s="186">
        <f>H599-H597</f>
        <v>577097.71000000834</v>
      </c>
      <c r="I598" s="185"/>
      <c r="J598" s="185"/>
      <c r="K598" s="194"/>
      <c r="L598" s="275"/>
      <c r="M598" s="275"/>
      <c r="N598" s="275"/>
      <c r="O598" s="196"/>
      <c r="P598" s="184"/>
      <c r="Q598" s="184"/>
    </row>
    <row r="599" spans="1:17" x14ac:dyDescent="0.25">
      <c r="A599" s="184"/>
      <c r="B599" s="184"/>
      <c r="C599" s="185"/>
      <c r="D599" s="185"/>
      <c r="E599" s="185"/>
      <c r="F599" s="299"/>
      <c r="G599" s="276"/>
      <c r="H599" s="351">
        <v>96224321.900000006</v>
      </c>
      <c r="I599" s="185"/>
      <c r="J599" s="185"/>
      <c r="K599" s="185"/>
      <c r="L599" s="196"/>
      <c r="M599" s="196"/>
      <c r="N599" s="196"/>
      <c r="O599" s="196"/>
      <c r="P599" s="184"/>
      <c r="Q599" s="184"/>
    </row>
    <row r="600" spans="1:17" hidden="1" x14ac:dyDescent="0.25">
      <c r="A600" s="184"/>
      <c r="B600" s="300" t="s">
        <v>457</v>
      </c>
      <c r="C600" s="301"/>
      <c r="D600" s="185"/>
      <c r="E600" s="185"/>
      <c r="F600" s="299"/>
      <c r="G600" s="276"/>
      <c r="H600" s="186"/>
      <c r="I600" s="185"/>
      <c r="J600" s="185"/>
      <c r="K600" s="194"/>
      <c r="L600" s="275"/>
      <c r="M600" s="275"/>
      <c r="N600" s="275"/>
      <c r="O600" s="196"/>
      <c r="P600" s="184"/>
      <c r="Q600" s="184"/>
    </row>
    <row r="601" spans="1:17" hidden="1" x14ac:dyDescent="0.25">
      <c r="A601" s="184"/>
      <c r="B601" s="302" t="s">
        <v>458</v>
      </c>
      <c r="C601" s="303">
        <f>L440</f>
        <v>135468481.39699996</v>
      </c>
      <c r="D601" s="185"/>
      <c r="E601" s="185"/>
      <c r="F601" s="299"/>
      <c r="G601" s="276"/>
      <c r="H601" s="186"/>
      <c r="I601" s="185"/>
      <c r="J601" s="185"/>
      <c r="K601" s="185"/>
      <c r="L601" s="196"/>
      <c r="M601" s="196"/>
      <c r="N601" s="196"/>
      <c r="O601" s="196"/>
      <c r="P601" s="184"/>
      <c r="Q601" s="184"/>
    </row>
    <row r="602" spans="1:17" hidden="1" x14ac:dyDescent="0.25">
      <c r="A602" s="184"/>
      <c r="B602" s="302" t="s">
        <v>459</v>
      </c>
      <c r="C602" s="304">
        <v>222960077.53999999</v>
      </c>
      <c r="D602" s="185"/>
      <c r="E602" s="185"/>
      <c r="F602" s="196"/>
      <c r="G602" s="276"/>
      <c r="H602" s="186"/>
      <c r="I602" s="185"/>
      <c r="J602" s="185"/>
      <c r="K602" s="194"/>
      <c r="L602" s="275"/>
      <c r="M602" s="275"/>
      <c r="N602" s="275"/>
      <c r="O602" s="196"/>
      <c r="P602" s="184"/>
      <c r="Q602" s="184"/>
    </row>
    <row r="603" spans="1:17" hidden="1" x14ac:dyDescent="0.25">
      <c r="A603" s="184"/>
      <c r="B603" s="302" t="s">
        <v>460</v>
      </c>
      <c r="C603" s="305">
        <f>H558+H560</f>
        <v>1338986.0800000131</v>
      </c>
      <c r="D603" s="185"/>
      <c r="E603" s="185"/>
      <c r="F603" s="196"/>
      <c r="G603" s="276"/>
      <c r="H603" s="186"/>
      <c r="I603" s="185"/>
      <c r="J603" s="185"/>
      <c r="K603" s="185"/>
      <c r="L603" s="196"/>
      <c r="M603" s="196"/>
      <c r="N603" s="196"/>
      <c r="O603" s="196"/>
      <c r="P603" s="184"/>
      <c r="Q603" s="184"/>
    </row>
    <row r="604" spans="1:17" hidden="1" x14ac:dyDescent="0.25">
      <c r="A604" s="184"/>
      <c r="B604" s="302" t="s">
        <v>461</v>
      </c>
      <c r="C604" s="185">
        <f>C602-C603-C601</f>
        <v>86152610.063000023</v>
      </c>
      <c r="D604" s="185"/>
      <c r="E604" s="185"/>
      <c r="F604" s="196"/>
      <c r="G604" s="276"/>
      <c r="H604" s="186"/>
      <c r="I604" s="185"/>
      <c r="J604" s="185"/>
      <c r="K604" s="194"/>
      <c r="L604" s="275"/>
      <c r="M604" s="275"/>
      <c r="N604" s="275"/>
      <c r="O604" s="196"/>
      <c r="P604" s="184"/>
      <c r="Q604" s="184"/>
    </row>
    <row r="605" spans="1:17" hidden="1" x14ac:dyDescent="0.25">
      <c r="A605" s="184"/>
      <c r="B605" s="306"/>
      <c r="C605" s="307"/>
      <c r="D605" s="185"/>
      <c r="E605" s="185"/>
      <c r="F605" s="196"/>
      <c r="G605" s="276"/>
      <c r="H605" s="186"/>
      <c r="I605" s="185"/>
      <c r="J605" s="185"/>
      <c r="K605" s="225"/>
      <c r="L605" s="196"/>
      <c r="M605" s="196"/>
      <c r="N605" s="196"/>
      <c r="O605" s="196"/>
      <c r="P605" s="184"/>
      <c r="Q605" s="184"/>
    </row>
    <row r="606" spans="1:17" hidden="1" x14ac:dyDescent="0.25">
      <c r="A606" s="184"/>
      <c r="B606" s="306"/>
      <c r="C606" s="305"/>
      <c r="D606" s="185"/>
      <c r="E606" s="185"/>
      <c r="F606" s="196"/>
      <c r="G606" s="276"/>
      <c r="H606" s="186"/>
      <c r="I606" s="185"/>
      <c r="J606" s="185"/>
      <c r="K606" s="194"/>
      <c r="L606" s="275"/>
      <c r="M606" s="275"/>
      <c r="N606" s="275"/>
      <c r="O606" s="196"/>
      <c r="P606" s="184"/>
      <c r="Q606" s="184"/>
    </row>
    <row r="607" spans="1:17" hidden="1" x14ac:dyDescent="0.25">
      <c r="A607" s="184"/>
      <c r="B607" s="306"/>
      <c r="C607" s="305"/>
      <c r="D607" s="185"/>
      <c r="E607" s="185"/>
      <c r="F607" s="196"/>
      <c r="G607" s="196"/>
      <c r="H607" s="186"/>
      <c r="I607" s="185"/>
      <c r="J607" s="185"/>
      <c r="K607" s="185"/>
      <c r="L607" s="287"/>
      <c r="M607" s="287"/>
      <c r="N607" s="287"/>
      <c r="O607" s="196"/>
      <c r="P607" s="184"/>
      <c r="Q607" s="184"/>
    </row>
    <row r="608" spans="1:17" hidden="1" x14ac:dyDescent="0.25">
      <c r="A608" s="184"/>
      <c r="B608" s="306" t="s">
        <v>462</v>
      </c>
      <c r="C608" s="305">
        <f>78424852.7-324504.25</f>
        <v>78100348.450000003</v>
      </c>
      <c r="D608" s="185"/>
      <c r="E608" s="185"/>
      <c r="F608" s="196"/>
      <c r="G608" s="196"/>
      <c r="H608" s="186"/>
      <c r="I608" s="185"/>
      <c r="J608" s="185"/>
      <c r="K608" s="194"/>
      <c r="L608" s="275"/>
      <c r="M608" s="275"/>
      <c r="N608" s="275"/>
      <c r="O608" s="196"/>
      <c r="P608" s="184"/>
      <c r="Q608" s="184"/>
    </row>
    <row r="609" spans="1:17" hidden="1" x14ac:dyDescent="0.25">
      <c r="A609" s="184"/>
      <c r="B609" s="306" t="s">
        <v>463</v>
      </c>
      <c r="C609" s="305">
        <f>34060851.92+42700510.45</f>
        <v>76761362.370000005</v>
      </c>
      <c r="D609" s="185"/>
      <c r="E609" s="185"/>
      <c r="F609" s="196"/>
      <c r="G609" s="196"/>
      <c r="H609" s="186"/>
      <c r="I609" s="185"/>
      <c r="J609" s="185"/>
      <c r="K609" s="185"/>
      <c r="L609" s="287"/>
      <c r="M609" s="287"/>
      <c r="N609" s="287"/>
      <c r="O609" s="196"/>
      <c r="P609" s="184"/>
      <c r="Q609" s="184"/>
    </row>
    <row r="610" spans="1:17" hidden="1" x14ac:dyDescent="0.25">
      <c r="A610" s="184"/>
      <c r="B610" s="306" t="s">
        <v>464</v>
      </c>
      <c r="C610" s="305">
        <f>C608-C609</f>
        <v>1338986.0799999982</v>
      </c>
      <c r="D610" s="185"/>
      <c r="E610" s="185"/>
      <c r="F610" s="196"/>
      <c r="G610" s="196"/>
      <c r="H610" s="186"/>
      <c r="I610" s="185"/>
      <c r="J610" s="185"/>
      <c r="K610" s="194"/>
      <c r="L610" s="275"/>
      <c r="M610" s="275"/>
      <c r="N610" s="275"/>
      <c r="O610" s="196"/>
      <c r="P610" s="184"/>
      <c r="Q610" s="184"/>
    </row>
    <row r="611" spans="1:17" ht="13.8" hidden="1" thickBot="1" x14ac:dyDescent="0.3">
      <c r="A611" s="184"/>
      <c r="B611" s="308" t="s">
        <v>465</v>
      </c>
      <c r="C611" s="309">
        <f>C610-C603</f>
        <v>-1.4901161193847656E-8</v>
      </c>
      <c r="D611" s="185"/>
      <c r="E611" s="185"/>
      <c r="F611" s="196"/>
      <c r="G611" s="196"/>
      <c r="H611" s="186"/>
      <c r="I611" s="185"/>
      <c r="J611" s="185"/>
      <c r="K611" s="185"/>
      <c r="L611" s="287"/>
      <c r="M611" s="287"/>
      <c r="N611" s="287"/>
      <c r="O611" s="196"/>
      <c r="P611" s="184"/>
      <c r="Q611" s="184"/>
    </row>
    <row r="612" spans="1:17" x14ac:dyDescent="0.25">
      <c r="A612" s="184"/>
      <c r="B612" s="184"/>
      <c r="C612" s="281"/>
      <c r="D612" s="185"/>
      <c r="E612" s="185"/>
      <c r="F612" s="288">
        <v>45204</v>
      </c>
      <c r="G612" s="293" t="s">
        <v>535</v>
      </c>
      <c r="H612" s="186">
        <f>H613-H599</f>
        <v>1120261.4399999976</v>
      </c>
      <c r="I612" s="185"/>
      <c r="J612" s="185"/>
      <c r="K612" s="185"/>
      <c r="L612" s="287"/>
      <c r="M612" s="287"/>
      <c r="N612" s="287"/>
      <c r="O612" s="196"/>
      <c r="P612" s="184"/>
      <c r="Q612" s="184"/>
    </row>
    <row r="613" spans="1:17" x14ac:dyDescent="0.25">
      <c r="A613" s="184"/>
      <c r="B613" s="184"/>
      <c r="C613" s="281"/>
      <c r="D613" s="185"/>
      <c r="E613" s="185"/>
      <c r="F613" s="196"/>
      <c r="G613" s="196"/>
      <c r="H613" s="351">
        <v>97344583.340000004</v>
      </c>
      <c r="I613" s="185"/>
      <c r="J613" s="186" t="s">
        <v>536</v>
      </c>
      <c r="K613" s="185"/>
      <c r="L613" s="287"/>
      <c r="M613" s="287"/>
      <c r="N613" s="287"/>
      <c r="O613" s="196"/>
      <c r="P613" s="184"/>
      <c r="Q613" s="184"/>
    </row>
    <row r="614" spans="1:17" x14ac:dyDescent="0.25">
      <c r="A614" s="184"/>
      <c r="B614" s="184"/>
      <c r="C614" s="281"/>
      <c r="D614" s="185"/>
      <c r="E614" s="185"/>
      <c r="F614" s="288">
        <v>45211</v>
      </c>
      <c r="G614" s="286" t="s">
        <v>537</v>
      </c>
      <c r="H614" s="186">
        <f>H615-H613</f>
        <v>467351.49000000954</v>
      </c>
      <c r="I614" s="185"/>
      <c r="J614" s="185"/>
      <c r="K614" s="185"/>
      <c r="L614" s="287"/>
      <c r="M614" s="287"/>
      <c r="N614" s="287"/>
      <c r="O614" s="196"/>
      <c r="P614" s="184"/>
      <c r="Q614" s="184"/>
    </row>
    <row r="615" spans="1:17" x14ac:dyDescent="0.25">
      <c r="A615" s="184"/>
      <c r="B615" s="184"/>
      <c r="C615" s="281"/>
      <c r="D615" s="185"/>
      <c r="E615" s="185"/>
      <c r="F615" s="196"/>
      <c r="G615" s="196"/>
      <c r="H615" s="351">
        <v>97811934.830000013</v>
      </c>
      <c r="I615" s="185"/>
      <c r="J615" s="185"/>
      <c r="K615" s="185"/>
      <c r="L615" s="287"/>
      <c r="M615" s="287"/>
      <c r="N615" s="287"/>
      <c r="O615" s="196"/>
      <c r="P615" s="184"/>
      <c r="Q615" s="184"/>
    </row>
    <row r="616" spans="1:17" x14ac:dyDescent="0.25">
      <c r="A616" s="184"/>
      <c r="B616" s="184"/>
      <c r="C616" s="281"/>
      <c r="D616" s="185"/>
      <c r="E616" s="185"/>
      <c r="F616" s="288">
        <v>45217</v>
      </c>
      <c r="G616" s="286" t="s">
        <v>538</v>
      </c>
      <c r="H616" s="186">
        <f>H617-H615</f>
        <v>372531.25999999046</v>
      </c>
      <c r="I616" s="185"/>
      <c r="J616" s="185"/>
      <c r="K616" s="185"/>
      <c r="L616" s="287"/>
      <c r="M616" s="287"/>
      <c r="N616" s="287"/>
      <c r="O616" s="196"/>
      <c r="P616" s="184"/>
      <c r="Q616" s="184"/>
    </row>
    <row r="617" spans="1:17" x14ac:dyDescent="0.25">
      <c r="A617" s="184"/>
      <c r="B617" s="184"/>
      <c r="C617" s="281"/>
      <c r="D617" s="185"/>
      <c r="E617" s="185"/>
      <c r="F617" s="196"/>
      <c r="G617" s="196"/>
      <c r="H617" s="351">
        <v>98184466.090000004</v>
      </c>
      <c r="I617" s="185"/>
      <c r="J617" s="185"/>
      <c r="K617" s="185"/>
      <c r="L617" s="287"/>
      <c r="M617" s="287"/>
      <c r="N617" s="287"/>
      <c r="O617" s="196"/>
      <c r="P617" s="184"/>
      <c r="Q617" s="184"/>
    </row>
    <row r="618" spans="1:17" x14ac:dyDescent="0.25">
      <c r="A618" s="184"/>
      <c r="B618" s="184"/>
      <c r="C618" s="281"/>
      <c r="D618" s="185"/>
      <c r="E618" s="185"/>
      <c r="F618" s="288">
        <v>45225</v>
      </c>
      <c r="G618" s="286" t="s">
        <v>539</v>
      </c>
      <c r="H618" s="186">
        <f>H619-H617</f>
        <v>2160978.9399999976</v>
      </c>
      <c r="I618" s="185"/>
      <c r="J618" s="185"/>
      <c r="K618" s="185"/>
      <c r="L618" s="287"/>
      <c r="M618" s="287"/>
      <c r="N618" s="287"/>
      <c r="O618" s="196"/>
      <c r="P618" s="184"/>
      <c r="Q618" s="184"/>
    </row>
    <row r="619" spans="1:17" x14ac:dyDescent="0.25">
      <c r="A619" s="184"/>
      <c r="B619" s="184"/>
      <c r="C619" s="281"/>
      <c r="D619" s="185"/>
      <c r="E619" s="185"/>
      <c r="F619" s="196"/>
      <c r="G619" s="196"/>
      <c r="H619" s="351">
        <v>100345445.03</v>
      </c>
      <c r="I619" s="185"/>
      <c r="J619" s="185"/>
      <c r="K619" s="185"/>
      <c r="L619" s="287"/>
      <c r="M619" s="287"/>
      <c r="N619" s="287"/>
      <c r="O619" s="196"/>
      <c r="P619" s="184"/>
      <c r="Q619" s="184"/>
    </row>
    <row r="620" spans="1:17" x14ac:dyDescent="0.25">
      <c r="A620" s="184"/>
      <c r="B620" s="184"/>
      <c r="C620" s="281"/>
      <c r="D620" s="185"/>
      <c r="E620" s="185"/>
      <c r="F620" s="288">
        <v>45232</v>
      </c>
      <c r="G620" s="286" t="s">
        <v>540</v>
      </c>
      <c r="H620" s="186">
        <f>H621-H619</f>
        <v>159766.51000002027</v>
      </c>
      <c r="I620" s="185"/>
      <c r="J620" s="185"/>
      <c r="K620" s="185"/>
      <c r="L620" s="287"/>
      <c r="M620" s="287"/>
      <c r="N620" s="287"/>
      <c r="O620" s="196"/>
      <c r="P620" s="184"/>
      <c r="Q620" s="184"/>
    </row>
    <row r="621" spans="1:17" x14ac:dyDescent="0.25">
      <c r="A621" s="184"/>
      <c r="B621" s="184"/>
      <c r="C621" s="281"/>
      <c r="D621" s="185"/>
      <c r="E621" s="185"/>
      <c r="F621" s="196"/>
      <c r="G621" s="196"/>
      <c r="H621" s="351">
        <v>100505211.54000002</v>
      </c>
      <c r="I621" s="185"/>
      <c r="J621" s="185"/>
      <c r="K621" s="185"/>
      <c r="L621" s="287"/>
      <c r="M621" s="287"/>
      <c r="N621" s="287"/>
      <c r="O621" s="196"/>
      <c r="P621" s="184"/>
      <c r="Q621" s="184"/>
    </row>
    <row r="622" spans="1:17" x14ac:dyDescent="0.25">
      <c r="A622" s="184"/>
      <c r="B622" s="184"/>
      <c r="C622" s="281"/>
      <c r="D622" s="185"/>
      <c r="E622" s="185"/>
      <c r="F622" s="288">
        <v>45238</v>
      </c>
      <c r="G622" s="286" t="s">
        <v>541</v>
      </c>
      <c r="H622" s="351">
        <f>H623-H621</f>
        <v>1492704.0599999875</v>
      </c>
      <c r="I622" s="185"/>
      <c r="J622" s="185"/>
      <c r="K622" s="185"/>
      <c r="L622" s="287"/>
      <c r="M622" s="287"/>
      <c r="N622" s="287"/>
      <c r="O622" s="196"/>
      <c r="P622" s="184"/>
      <c r="Q622" s="184"/>
    </row>
    <row r="623" spans="1:17" x14ac:dyDescent="0.25">
      <c r="A623" s="184"/>
      <c r="B623" s="184"/>
      <c r="C623" s="281"/>
      <c r="D623" s="185"/>
      <c r="E623" s="185"/>
      <c r="F623" s="196"/>
      <c r="G623" s="196"/>
      <c r="H623" s="225">
        <v>101997915.60000001</v>
      </c>
      <c r="I623" s="185"/>
      <c r="J623" s="185"/>
      <c r="K623" s="185"/>
      <c r="L623" s="196"/>
      <c r="M623" s="196"/>
      <c r="N623" s="225"/>
      <c r="O623" s="185"/>
      <c r="P623" s="184"/>
      <c r="Q623" s="184"/>
    </row>
    <row r="624" spans="1:17" x14ac:dyDescent="0.25">
      <c r="A624" s="184"/>
      <c r="B624" s="184"/>
      <c r="C624" s="281"/>
      <c r="D624" s="185"/>
      <c r="E624" s="185"/>
      <c r="F624" s="288">
        <v>45245</v>
      </c>
      <c r="G624" s="286" t="s">
        <v>542</v>
      </c>
      <c r="H624" s="186">
        <f>H625-H623</f>
        <v>826615.79999999702</v>
      </c>
      <c r="I624" s="185"/>
      <c r="J624" s="185"/>
      <c r="K624" s="185"/>
      <c r="L624" s="288"/>
      <c r="M624" s="286"/>
      <c r="N624" s="190"/>
      <c r="O624" s="185"/>
      <c r="P624" s="184"/>
      <c r="Q624" s="184"/>
    </row>
    <row r="625" spans="1:17" x14ac:dyDescent="0.25">
      <c r="A625" s="184"/>
      <c r="B625" s="184"/>
      <c r="C625" s="281"/>
      <c r="D625" s="185"/>
      <c r="E625" s="185"/>
      <c r="F625" s="196"/>
      <c r="G625" s="196"/>
      <c r="H625" s="186">
        <v>102824531.40000001</v>
      </c>
      <c r="I625" s="185"/>
      <c r="J625" s="185"/>
      <c r="K625" s="185"/>
      <c r="L625" s="196"/>
      <c r="M625" s="196"/>
      <c r="N625" s="190"/>
      <c r="O625" s="185"/>
      <c r="P625" s="184"/>
      <c r="Q625" s="184"/>
    </row>
    <row r="626" spans="1:17" x14ac:dyDescent="0.25">
      <c r="A626" s="184"/>
      <c r="B626" s="184"/>
      <c r="C626" s="281"/>
      <c r="D626" s="185"/>
      <c r="E626" s="185"/>
      <c r="F626" s="288">
        <v>45244</v>
      </c>
      <c r="G626" s="276" t="s">
        <v>543</v>
      </c>
      <c r="H626" s="186">
        <f>H627-H625</f>
        <v>-293864.98999999464</v>
      </c>
      <c r="I626" s="185"/>
      <c r="J626" s="185" t="s">
        <v>544</v>
      </c>
      <c r="K626" s="185"/>
      <c r="L626" s="288"/>
      <c r="M626" s="276"/>
      <c r="N626" s="190"/>
      <c r="O626" s="185"/>
      <c r="P626" s="184"/>
      <c r="Q626" s="184"/>
    </row>
    <row r="627" spans="1:17" x14ac:dyDescent="0.25">
      <c r="A627" s="184"/>
      <c r="B627" s="184"/>
      <c r="C627" s="185"/>
      <c r="D627" s="185"/>
      <c r="E627" s="185"/>
      <c r="F627" s="196"/>
      <c r="G627" s="196"/>
      <c r="H627" s="186">
        <v>102530666.41000001</v>
      </c>
      <c r="I627" s="185"/>
      <c r="J627" s="185"/>
      <c r="K627" s="194"/>
      <c r="L627" s="196"/>
      <c r="M627" s="196"/>
      <c r="N627" s="190"/>
      <c r="O627" s="185"/>
      <c r="P627" s="184"/>
      <c r="Q627" s="184"/>
    </row>
    <row r="628" spans="1:17" x14ac:dyDescent="0.25">
      <c r="A628" s="184"/>
      <c r="B628" s="184"/>
      <c r="C628" s="185"/>
      <c r="D628" s="185"/>
      <c r="E628" s="185"/>
      <c r="F628" s="288">
        <v>45244</v>
      </c>
      <c r="G628" s="276" t="s">
        <v>543</v>
      </c>
      <c r="H628" s="186">
        <f>H629-H627</f>
        <v>-855</v>
      </c>
      <c r="I628" s="185"/>
      <c r="J628" s="186" t="s">
        <v>545</v>
      </c>
      <c r="K628" s="194"/>
      <c r="L628" s="288"/>
      <c r="M628" s="276"/>
      <c r="N628" s="190"/>
      <c r="O628" s="185"/>
      <c r="P628" s="184"/>
      <c r="Q628" s="184"/>
    </row>
    <row r="629" spans="1:17" x14ac:dyDescent="0.25">
      <c r="A629" s="184"/>
      <c r="B629" s="184"/>
      <c r="C629" s="185"/>
      <c r="D629" s="185"/>
      <c r="E629" s="185"/>
      <c r="F629" s="196"/>
      <c r="G629" s="196"/>
      <c r="H629" s="186">
        <v>102529811.41000001</v>
      </c>
      <c r="I629" s="185"/>
      <c r="J629" s="185"/>
      <c r="K629" s="194"/>
      <c r="L629" s="196"/>
      <c r="M629" s="196"/>
      <c r="N629" s="190"/>
      <c r="O629" s="185"/>
      <c r="P629" s="184"/>
      <c r="Q629" s="184"/>
    </row>
    <row r="630" spans="1:17" x14ac:dyDescent="0.25">
      <c r="A630" s="184"/>
      <c r="B630" s="184"/>
      <c r="C630" s="185"/>
      <c r="D630" s="185"/>
      <c r="E630" s="185"/>
      <c r="F630" s="288">
        <v>45251</v>
      </c>
      <c r="G630" s="286" t="s">
        <v>546</v>
      </c>
      <c r="H630" s="186">
        <f>H631-H629</f>
        <v>1839664.6299999952</v>
      </c>
      <c r="I630" s="185"/>
      <c r="J630" s="185"/>
      <c r="K630" s="185"/>
      <c r="L630" s="288"/>
      <c r="M630" s="286"/>
      <c r="N630" s="190"/>
      <c r="O630" s="185"/>
      <c r="P630" s="184"/>
      <c r="Q630" s="184"/>
    </row>
    <row r="631" spans="1:17" x14ac:dyDescent="0.25">
      <c r="A631" s="184"/>
      <c r="B631" s="184"/>
      <c r="C631" s="185"/>
      <c r="D631" s="185"/>
      <c r="E631" s="185"/>
      <c r="F631" s="196"/>
      <c r="G631" s="196"/>
      <c r="H631" s="186">
        <v>104369476.04000001</v>
      </c>
      <c r="I631" s="185"/>
      <c r="J631" s="185"/>
      <c r="K631" s="185"/>
      <c r="L631" s="196"/>
      <c r="M631" s="196"/>
      <c r="N631" s="190"/>
      <c r="O631" s="185"/>
      <c r="P631" s="184"/>
      <c r="Q631" s="184"/>
    </row>
    <row r="632" spans="1:17" x14ac:dyDescent="0.25">
      <c r="A632" s="184"/>
      <c r="B632" s="184"/>
      <c r="C632" s="185"/>
      <c r="D632" s="185"/>
      <c r="E632" s="185"/>
      <c r="F632" s="288">
        <v>45259</v>
      </c>
      <c r="G632" s="286" t="s">
        <v>547</v>
      </c>
      <c r="H632" s="186">
        <f>H633-H631</f>
        <v>49081.579999998212</v>
      </c>
      <c r="I632" s="185"/>
      <c r="J632" s="185"/>
      <c r="K632" s="185"/>
      <c r="L632" s="288"/>
      <c r="M632" s="286"/>
      <c r="N632" s="190"/>
      <c r="O632" s="185"/>
      <c r="P632" s="184"/>
      <c r="Q632" s="184"/>
    </row>
    <row r="633" spans="1:17" x14ac:dyDescent="0.25">
      <c r="A633" s="184"/>
      <c r="B633" s="184"/>
      <c r="C633" s="185"/>
      <c r="D633" s="185"/>
      <c r="E633" s="185"/>
      <c r="F633" s="196"/>
      <c r="G633" s="196"/>
      <c r="H633" s="186">
        <v>104418557.62</v>
      </c>
      <c r="I633" s="185"/>
      <c r="J633" s="185"/>
      <c r="K633" s="185"/>
      <c r="L633" s="196"/>
      <c r="M633" s="196"/>
      <c r="N633" s="186"/>
      <c r="O633" s="185"/>
      <c r="P633" s="184"/>
      <c r="Q633" s="184"/>
    </row>
    <row r="634" spans="1:17" x14ac:dyDescent="0.25">
      <c r="A634" s="184"/>
      <c r="B634" s="184"/>
      <c r="C634" s="185"/>
      <c r="D634" s="185"/>
      <c r="E634" s="185"/>
      <c r="F634" s="288">
        <v>45259</v>
      </c>
      <c r="G634" s="196" t="s">
        <v>548</v>
      </c>
      <c r="H634" s="186">
        <f>H635-H633</f>
        <v>-36252.560000002384</v>
      </c>
      <c r="I634" s="185"/>
      <c r="J634" s="185"/>
      <c r="K634" s="185"/>
      <c r="L634" s="196"/>
      <c r="M634" s="196"/>
      <c r="N634" s="196"/>
      <c r="O634" s="288"/>
      <c r="P634" s="184"/>
      <c r="Q634" s="184"/>
    </row>
    <row r="635" spans="1:17" x14ac:dyDescent="0.25">
      <c r="A635" s="184"/>
      <c r="B635" s="184"/>
      <c r="C635" s="185"/>
      <c r="D635" s="185"/>
      <c r="E635" s="185"/>
      <c r="F635" s="288"/>
      <c r="G635" s="196"/>
      <c r="H635" s="186">
        <v>104382305.06</v>
      </c>
      <c r="I635" s="185"/>
      <c r="J635" s="185"/>
      <c r="K635" s="185"/>
      <c r="L635" s="196"/>
      <c r="M635" s="196"/>
      <c r="N635" s="196"/>
      <c r="O635" s="196"/>
      <c r="P635" s="184"/>
      <c r="Q635" s="184"/>
    </row>
    <row r="636" spans="1:17" x14ac:dyDescent="0.25">
      <c r="A636" s="184"/>
      <c r="B636" s="184"/>
      <c r="C636" s="185"/>
      <c r="D636" s="185"/>
      <c r="E636" s="185"/>
      <c r="F636" s="288">
        <v>45266</v>
      </c>
      <c r="G636" s="286" t="s">
        <v>549</v>
      </c>
      <c r="H636" s="186">
        <f>H637-H635</f>
        <v>675631.36000001431</v>
      </c>
      <c r="I636" s="185"/>
      <c r="J636" s="185"/>
      <c r="K636" s="185"/>
      <c r="L636" s="288"/>
      <c r="M636" s="196"/>
      <c r="N636" s="186"/>
      <c r="O636" s="185"/>
      <c r="P636" s="184"/>
      <c r="Q636" s="184"/>
    </row>
    <row r="637" spans="1:17" x14ac:dyDescent="0.25">
      <c r="A637" s="184"/>
      <c r="B637" s="184"/>
      <c r="C637" s="185"/>
      <c r="D637" s="185"/>
      <c r="E637" s="185"/>
      <c r="F637" s="196"/>
      <c r="G637" s="196"/>
      <c r="H637" s="186">
        <v>105057936.42000002</v>
      </c>
      <c r="I637" s="185"/>
      <c r="J637" s="185"/>
      <c r="K637" s="185"/>
      <c r="L637" s="288"/>
      <c r="M637" s="196"/>
      <c r="N637" s="186"/>
      <c r="O637" s="185"/>
      <c r="P637" s="184"/>
      <c r="Q637" s="184"/>
    </row>
    <row r="638" spans="1:17" x14ac:dyDescent="0.25">
      <c r="A638" s="184"/>
      <c r="B638" s="184"/>
      <c r="C638" s="185"/>
      <c r="D638" s="185"/>
      <c r="E638" s="185"/>
      <c r="F638" s="288">
        <v>45267</v>
      </c>
      <c r="G638" s="196" t="s">
        <v>548</v>
      </c>
      <c r="H638" s="186">
        <f>H639-H637</f>
        <v>-69833.360000014305</v>
      </c>
      <c r="I638" s="185"/>
      <c r="J638" s="185"/>
      <c r="K638" s="185"/>
      <c r="L638" s="288"/>
      <c r="M638" s="196"/>
      <c r="N638" s="186"/>
      <c r="O638" s="185"/>
      <c r="P638" s="184"/>
      <c r="Q638" s="184"/>
    </row>
    <row r="639" spans="1:17" x14ac:dyDescent="0.25">
      <c r="A639" s="184"/>
      <c r="B639" s="184"/>
      <c r="C639" s="185"/>
      <c r="D639" s="185"/>
      <c r="E639" s="185"/>
      <c r="F639" s="196"/>
      <c r="G639" s="196"/>
      <c r="H639" s="186">
        <v>104988103.06</v>
      </c>
      <c r="I639" s="185"/>
      <c r="J639" s="185"/>
      <c r="K639" s="185"/>
      <c r="L639" s="288"/>
      <c r="M639" s="196"/>
      <c r="N639" s="186"/>
      <c r="O639" s="185"/>
      <c r="P639" s="184"/>
      <c r="Q639" s="184"/>
    </row>
    <row r="640" spans="1:17" x14ac:dyDescent="0.25">
      <c r="A640" s="184"/>
      <c r="B640" s="184"/>
      <c r="C640" s="185"/>
      <c r="D640" s="185"/>
      <c r="E640" s="185"/>
      <c r="F640" s="288">
        <v>45267</v>
      </c>
      <c r="G640" s="286" t="s">
        <v>550</v>
      </c>
      <c r="H640" s="186">
        <f>H641-H639</f>
        <v>69833.360000014305</v>
      </c>
      <c r="I640" s="185"/>
      <c r="J640" s="185"/>
      <c r="K640" s="185"/>
      <c r="L640" s="287"/>
      <c r="M640" s="287"/>
      <c r="N640" s="287"/>
      <c r="O640" s="196"/>
      <c r="P640" s="184"/>
      <c r="Q640" s="184"/>
    </row>
    <row r="641" spans="1:17" x14ac:dyDescent="0.25">
      <c r="A641" s="184"/>
      <c r="B641" s="184"/>
      <c r="C641" s="185"/>
      <c r="D641" s="185"/>
      <c r="E641" s="185"/>
      <c r="F641" s="196"/>
      <c r="G641" s="196"/>
      <c r="H641" s="186">
        <v>105057936.42000002</v>
      </c>
      <c r="I641" s="185"/>
      <c r="J641" s="185"/>
      <c r="K641" s="185"/>
      <c r="L641" s="287"/>
      <c r="M641" s="287"/>
      <c r="N641" s="287"/>
      <c r="O641" s="196"/>
      <c r="P641" s="184"/>
      <c r="Q641" s="184"/>
    </row>
    <row r="642" spans="1:17" x14ac:dyDescent="0.25">
      <c r="A642" s="184"/>
      <c r="B642" s="184"/>
      <c r="C642" s="185"/>
      <c r="D642" s="185"/>
      <c r="E642" s="185"/>
      <c r="F642" s="288">
        <v>45273</v>
      </c>
      <c r="G642" s="286" t="s">
        <v>551</v>
      </c>
      <c r="H642" s="186">
        <f>H643-H641</f>
        <v>454944.54999999702</v>
      </c>
      <c r="I642" s="185"/>
      <c r="J642" s="185"/>
      <c r="K642" s="185"/>
      <c r="L642" s="287"/>
      <c r="M642" s="287"/>
      <c r="N642" s="287"/>
      <c r="O642" s="196"/>
      <c r="P642" s="184"/>
      <c r="Q642" s="184"/>
    </row>
    <row r="643" spans="1:17" x14ac:dyDescent="0.25">
      <c r="A643" s="184"/>
      <c r="B643" s="184"/>
      <c r="C643" s="185"/>
      <c r="D643" s="185"/>
      <c r="E643" s="185"/>
      <c r="F643" s="196"/>
      <c r="G643" s="196"/>
      <c r="H643" s="186">
        <v>105512880.97000001</v>
      </c>
      <c r="I643" s="185"/>
      <c r="J643" s="185"/>
      <c r="K643" s="185"/>
      <c r="L643" s="287"/>
      <c r="M643" s="287"/>
      <c r="N643" s="287"/>
      <c r="O643" s="196"/>
      <c r="P643" s="184"/>
      <c r="Q643" s="184"/>
    </row>
    <row r="644" spans="1:17" x14ac:dyDescent="0.25">
      <c r="A644" s="184"/>
      <c r="B644" s="184"/>
      <c r="C644" s="185"/>
      <c r="D644" s="185"/>
      <c r="E644" s="185"/>
      <c r="F644" s="196"/>
      <c r="G644" s="276" t="s">
        <v>552</v>
      </c>
      <c r="H644" s="186">
        <f>H645-H643</f>
        <v>-820349.2500000149</v>
      </c>
      <c r="I644" s="185"/>
      <c r="J644" s="185"/>
      <c r="K644" s="185"/>
      <c r="L644" s="287"/>
      <c r="M644" s="287"/>
      <c r="N644" s="287"/>
      <c r="O644" s="196"/>
      <c r="P644" s="184"/>
      <c r="Q644" s="184"/>
    </row>
    <row r="645" spans="1:17" x14ac:dyDescent="0.25">
      <c r="A645" s="184"/>
      <c r="B645" s="184"/>
      <c r="C645" s="185"/>
      <c r="D645" s="185"/>
      <c r="E645" s="185"/>
      <c r="F645" s="196"/>
      <c r="G645" s="196"/>
      <c r="H645" s="186">
        <v>104692531.72</v>
      </c>
      <c r="I645" s="185"/>
      <c r="J645" s="185"/>
      <c r="K645" s="185"/>
      <c r="L645" s="287"/>
      <c r="M645" s="287"/>
      <c r="N645" s="287"/>
      <c r="O645" s="196"/>
      <c r="P645" s="184"/>
      <c r="Q645" s="184"/>
    </row>
    <row r="646" spans="1:17" x14ac:dyDescent="0.25">
      <c r="A646" s="184"/>
      <c r="B646" s="184"/>
      <c r="C646" s="185"/>
      <c r="D646" s="185"/>
      <c r="E646" s="185"/>
      <c r="F646" s="288">
        <v>45275</v>
      </c>
      <c r="G646" s="286" t="s">
        <v>553</v>
      </c>
      <c r="H646" s="186">
        <f>H647-H645</f>
        <v>3101904.5500000119</v>
      </c>
      <c r="I646" s="185"/>
      <c r="J646" s="185"/>
      <c r="K646" s="185"/>
      <c r="L646" s="287"/>
      <c r="M646" s="287"/>
      <c r="N646" s="287"/>
      <c r="O646" s="196"/>
      <c r="P646" s="184"/>
      <c r="Q646" s="184"/>
    </row>
    <row r="647" spans="1:17" x14ac:dyDescent="0.25">
      <c r="A647" s="184"/>
      <c r="B647" s="184"/>
      <c r="C647" s="185"/>
      <c r="D647" s="185"/>
      <c r="E647" s="185"/>
      <c r="F647" s="196"/>
      <c r="G647" s="196"/>
      <c r="H647" s="186">
        <v>107794436.27000001</v>
      </c>
      <c r="I647" s="185"/>
      <c r="J647" s="185"/>
      <c r="K647" s="185"/>
      <c r="L647" s="287"/>
      <c r="M647" s="287"/>
      <c r="N647" s="287"/>
      <c r="O647" s="196"/>
      <c r="P647" s="184"/>
      <c r="Q647" s="184"/>
    </row>
    <row r="648" spans="1:17" x14ac:dyDescent="0.25">
      <c r="A648" s="184"/>
      <c r="B648" s="184"/>
      <c r="C648" s="185"/>
      <c r="D648" s="185"/>
      <c r="E648" s="185"/>
      <c r="F648" s="288">
        <v>45295</v>
      </c>
      <c r="G648" s="286" t="s">
        <v>554</v>
      </c>
      <c r="H648" s="186">
        <f>H649-H647</f>
        <v>1000616.7700000107</v>
      </c>
      <c r="I648" s="185"/>
      <c r="J648" s="185"/>
      <c r="K648" s="185"/>
      <c r="L648" s="287"/>
      <c r="M648" s="287"/>
      <c r="N648" s="287"/>
      <c r="O648" s="196"/>
      <c r="P648" s="184"/>
      <c r="Q648" s="184"/>
    </row>
    <row r="649" spans="1:17" x14ac:dyDescent="0.25">
      <c r="A649" s="184"/>
      <c r="B649" s="184"/>
      <c r="C649" s="185"/>
      <c r="D649" s="185"/>
      <c r="E649" s="185"/>
      <c r="F649" s="196"/>
      <c r="G649" s="196"/>
      <c r="H649" s="186">
        <v>108795053.04000002</v>
      </c>
      <c r="I649" s="185"/>
      <c r="J649" s="185"/>
      <c r="K649" s="185"/>
      <c r="L649" s="287"/>
      <c r="M649" s="287"/>
      <c r="N649" s="287"/>
      <c r="O649" s="196"/>
      <c r="P649" s="184"/>
      <c r="Q649" s="184"/>
    </row>
    <row r="650" spans="1:17" x14ac:dyDescent="0.25">
      <c r="A650" s="184"/>
      <c r="B650" s="184"/>
      <c r="C650" s="185"/>
      <c r="D650" s="185"/>
      <c r="E650" s="185"/>
      <c r="F650" s="288">
        <v>45302</v>
      </c>
      <c r="G650" s="286" t="s">
        <v>555</v>
      </c>
      <c r="H650" s="186">
        <f>H651-H649</f>
        <v>203555.62999999523</v>
      </c>
      <c r="I650" s="185"/>
      <c r="J650" s="185"/>
      <c r="K650" s="185"/>
      <c r="L650" s="287"/>
      <c r="M650" s="287"/>
      <c r="N650" s="287"/>
      <c r="O650" s="196"/>
      <c r="P650" s="184"/>
      <c r="Q650" s="184"/>
    </row>
    <row r="651" spans="1:17" x14ac:dyDescent="0.25">
      <c r="A651" s="184"/>
      <c r="B651" s="184"/>
      <c r="C651" s="185"/>
      <c r="D651" s="185"/>
      <c r="E651" s="185"/>
      <c r="F651" s="196"/>
      <c r="G651" s="196"/>
      <c r="H651" s="186">
        <v>108998608.67000002</v>
      </c>
      <c r="I651" s="185"/>
      <c r="J651" s="185"/>
      <c r="K651" s="185"/>
      <c r="L651" s="287"/>
      <c r="M651" s="287"/>
      <c r="N651" s="287"/>
      <c r="O651" s="196"/>
      <c r="P651" s="184"/>
      <c r="Q651" s="184"/>
    </row>
    <row r="652" spans="1:17" x14ac:dyDescent="0.25">
      <c r="A652" s="184"/>
      <c r="B652" s="184"/>
      <c r="C652" s="185"/>
      <c r="D652" s="185"/>
      <c r="E652" s="185"/>
      <c r="F652" s="288">
        <v>45302</v>
      </c>
      <c r="G652" s="196" t="s">
        <v>548</v>
      </c>
      <c r="H652" s="186">
        <f>H653-H651</f>
        <v>-17286.469999998808</v>
      </c>
      <c r="I652" s="185"/>
      <c r="J652" s="185"/>
      <c r="K652" s="185"/>
      <c r="L652" s="287"/>
      <c r="M652" s="287"/>
      <c r="N652" s="287"/>
      <c r="O652" s="196"/>
      <c r="P652" s="184"/>
      <c r="Q652" s="184"/>
    </row>
    <row r="653" spans="1:17" x14ac:dyDescent="0.25">
      <c r="A653" s="184"/>
      <c r="B653" s="184"/>
      <c r="C653" s="185"/>
      <c r="D653" s="185"/>
      <c r="E653" s="185"/>
      <c r="F653" s="196"/>
      <c r="G653" s="196"/>
      <c r="H653" s="186">
        <v>108981322.20000002</v>
      </c>
      <c r="I653" s="185"/>
      <c r="J653" s="185"/>
      <c r="K653" s="185"/>
      <c r="L653" s="287"/>
      <c r="M653" s="287"/>
      <c r="N653" s="287"/>
      <c r="O653" s="196"/>
      <c r="P653" s="184"/>
      <c r="Q653" s="184"/>
    </row>
    <row r="654" spans="1:17" x14ac:dyDescent="0.25">
      <c r="A654" s="184"/>
      <c r="B654" s="184"/>
      <c r="C654" s="185"/>
      <c r="D654" s="185"/>
      <c r="E654" s="185"/>
      <c r="F654" s="288">
        <v>45303</v>
      </c>
      <c r="G654" s="286" t="s">
        <v>556</v>
      </c>
      <c r="H654" s="186">
        <f>H655-H653</f>
        <v>911887.82999998331</v>
      </c>
      <c r="I654" s="185"/>
      <c r="J654" s="185"/>
      <c r="K654" s="185"/>
      <c r="L654" s="287"/>
      <c r="M654" s="287"/>
      <c r="N654" s="287"/>
      <c r="O654" s="196"/>
      <c r="P654" s="184"/>
      <c r="Q654" s="184"/>
    </row>
    <row r="655" spans="1:17" x14ac:dyDescent="0.25">
      <c r="A655" s="184"/>
      <c r="B655" s="184"/>
      <c r="C655" s="185"/>
      <c r="D655" s="185"/>
      <c r="E655" s="185"/>
      <c r="F655" s="196"/>
      <c r="G655" s="196"/>
      <c r="H655" s="186">
        <v>109893210.03</v>
      </c>
      <c r="I655" s="185"/>
      <c r="J655" s="185"/>
      <c r="K655" s="185"/>
      <c r="L655" s="287"/>
      <c r="M655" s="287"/>
      <c r="N655" s="287"/>
      <c r="O655" s="196"/>
      <c r="P655" s="184"/>
      <c r="Q655" s="184"/>
    </row>
    <row r="656" spans="1:17" x14ac:dyDescent="0.25">
      <c r="A656" s="184"/>
      <c r="B656" s="184"/>
      <c r="C656" s="281"/>
      <c r="D656" s="185"/>
      <c r="E656" s="185"/>
      <c r="F656" s="288">
        <v>45309</v>
      </c>
      <c r="G656" s="286" t="s">
        <v>557</v>
      </c>
      <c r="H656" s="186">
        <f>H657-H655</f>
        <v>19211.810000002384</v>
      </c>
      <c r="I656" s="185"/>
      <c r="J656" s="185"/>
      <c r="K656" s="185"/>
      <c r="L656" s="287"/>
      <c r="M656" s="287"/>
      <c r="N656" s="287"/>
      <c r="O656" s="196"/>
      <c r="P656" s="184"/>
      <c r="Q656" s="184"/>
    </row>
    <row r="657" spans="1:17" x14ac:dyDescent="0.25">
      <c r="A657" s="184"/>
      <c r="B657" s="184"/>
      <c r="C657" s="281"/>
      <c r="D657" s="185"/>
      <c r="E657" s="185"/>
      <c r="F657" s="196"/>
      <c r="G657" s="196"/>
      <c r="H657" s="186">
        <v>109912421.84</v>
      </c>
      <c r="I657" s="185"/>
      <c r="J657" s="185"/>
      <c r="K657" s="185"/>
      <c r="L657" s="287"/>
      <c r="M657" s="287"/>
      <c r="N657" s="287"/>
      <c r="O657" s="196"/>
      <c r="P657" s="184"/>
      <c r="Q657" s="184"/>
    </row>
    <row r="658" spans="1:17" x14ac:dyDescent="0.25">
      <c r="A658" s="184"/>
      <c r="B658" s="184"/>
      <c r="C658" s="281"/>
      <c r="D658" s="185"/>
      <c r="E658" s="185"/>
      <c r="F658" s="288">
        <v>45316</v>
      </c>
      <c r="G658" s="286" t="s">
        <v>558</v>
      </c>
      <c r="H658" s="186">
        <f>H659-H657</f>
        <v>213093.65999999642</v>
      </c>
      <c r="I658" s="185"/>
      <c r="J658" s="185"/>
      <c r="K658" s="185"/>
      <c r="L658" s="287"/>
      <c r="M658" s="287"/>
      <c r="N658" s="287"/>
      <c r="O658" s="196"/>
      <c r="P658" s="184"/>
      <c r="Q658" s="184"/>
    </row>
    <row r="659" spans="1:17" x14ac:dyDescent="0.25">
      <c r="A659" s="184"/>
      <c r="B659" s="184"/>
      <c r="C659" s="281"/>
      <c r="D659" s="185"/>
      <c r="E659" s="185"/>
      <c r="F659" s="196"/>
      <c r="G659" s="196"/>
      <c r="H659" s="186">
        <v>110125515.5</v>
      </c>
      <c r="I659" s="185"/>
      <c r="J659" s="185"/>
      <c r="K659" s="185"/>
      <c r="L659" s="287"/>
      <c r="M659" s="287"/>
      <c r="N659" s="287"/>
      <c r="O659" s="196"/>
      <c r="P659" s="184"/>
      <c r="Q659" s="184"/>
    </row>
    <row r="660" spans="1:17" x14ac:dyDescent="0.25">
      <c r="A660" s="184"/>
      <c r="B660" s="184"/>
      <c r="C660" s="281"/>
      <c r="D660" s="185"/>
      <c r="E660" s="185"/>
      <c r="F660" s="288">
        <v>45321</v>
      </c>
      <c r="G660" s="286" t="s">
        <v>559</v>
      </c>
      <c r="H660" s="186">
        <f>H661-H659</f>
        <v>92727.530000001192</v>
      </c>
      <c r="I660" s="185"/>
      <c r="J660" s="185"/>
      <c r="K660" s="185"/>
      <c r="L660" s="287"/>
      <c r="M660" s="287"/>
      <c r="N660" s="287"/>
      <c r="O660" s="196"/>
      <c r="P660" s="184"/>
      <c r="Q660" s="184"/>
    </row>
    <row r="661" spans="1:17" x14ac:dyDescent="0.25">
      <c r="A661" s="184"/>
      <c r="B661" s="184"/>
      <c r="C661" s="281"/>
      <c r="D661" s="185"/>
      <c r="E661" s="185"/>
      <c r="F661" s="196"/>
      <c r="G661" s="196"/>
      <c r="H661" s="186">
        <v>110218243.03</v>
      </c>
      <c r="I661" s="185"/>
      <c r="J661" s="185"/>
      <c r="K661" s="185"/>
      <c r="L661" s="287"/>
      <c r="M661" s="287"/>
      <c r="N661" s="287"/>
      <c r="O661" s="196"/>
      <c r="P661" s="184"/>
      <c r="Q661" s="184"/>
    </row>
    <row r="662" spans="1:17" x14ac:dyDescent="0.25">
      <c r="A662" s="184"/>
      <c r="B662" s="184"/>
      <c r="C662" s="281"/>
      <c r="D662" s="185"/>
      <c r="E662" s="185"/>
      <c r="F662" s="288">
        <v>45324</v>
      </c>
      <c r="G662" s="286" t="s">
        <v>560</v>
      </c>
      <c r="H662" s="186">
        <f>H663-H661</f>
        <v>31445</v>
      </c>
      <c r="I662" s="185"/>
      <c r="J662" s="185"/>
      <c r="K662" s="185"/>
      <c r="L662" s="287"/>
      <c r="M662" s="287"/>
      <c r="N662" s="287"/>
      <c r="O662" s="196"/>
      <c r="P662" s="184"/>
      <c r="Q662" s="184"/>
    </row>
    <row r="663" spans="1:17" x14ac:dyDescent="0.25">
      <c r="A663" s="184"/>
      <c r="B663" s="184"/>
      <c r="C663" s="185"/>
      <c r="D663" s="185"/>
      <c r="E663" s="185"/>
      <c r="F663" s="196"/>
      <c r="G663" s="196"/>
      <c r="H663" s="186">
        <v>110249688.03</v>
      </c>
      <c r="I663" s="185"/>
      <c r="J663" s="185"/>
      <c r="K663" s="185"/>
      <c r="L663" s="287"/>
      <c r="M663" s="287"/>
      <c r="N663" s="287"/>
      <c r="O663" s="196"/>
      <c r="P663" s="184"/>
      <c r="Q663" s="184"/>
    </row>
    <row r="664" spans="1:17" x14ac:dyDescent="0.25">
      <c r="A664" s="184"/>
      <c r="B664" s="184"/>
      <c r="C664" s="185"/>
      <c r="D664" s="185"/>
      <c r="E664" s="185"/>
      <c r="F664" s="288">
        <v>45328</v>
      </c>
      <c r="G664" s="286" t="s">
        <v>561</v>
      </c>
      <c r="H664" s="186">
        <f>H665-H663</f>
        <v>851166.95000001788</v>
      </c>
      <c r="I664" s="185"/>
      <c r="J664" s="185"/>
      <c r="K664" s="185"/>
      <c r="L664" s="287"/>
      <c r="M664" s="287"/>
      <c r="N664" s="287"/>
      <c r="O664" s="196"/>
      <c r="P664" s="184"/>
      <c r="Q664" s="184"/>
    </row>
    <row r="665" spans="1:17" x14ac:dyDescent="0.25">
      <c r="A665" s="184"/>
      <c r="B665" s="184"/>
      <c r="C665" s="185"/>
      <c r="D665" s="185"/>
      <c r="E665" s="185"/>
      <c r="F665" s="196"/>
      <c r="G665" s="196"/>
      <c r="H665" s="186">
        <v>111100854.98000002</v>
      </c>
      <c r="I665" s="185"/>
      <c r="J665" s="185"/>
      <c r="K665" s="185"/>
      <c r="L665" s="287"/>
      <c r="M665" s="287"/>
      <c r="N665" s="287"/>
      <c r="O665" s="196"/>
      <c r="P665" s="184"/>
      <c r="Q665" s="184"/>
    </row>
    <row r="666" spans="1:17" x14ac:dyDescent="0.25">
      <c r="A666" s="184"/>
      <c r="B666" s="184"/>
      <c r="C666" s="185"/>
      <c r="D666" s="185"/>
      <c r="E666" s="185"/>
      <c r="F666" s="288">
        <v>45330</v>
      </c>
      <c r="G666" s="286" t="s">
        <v>562</v>
      </c>
      <c r="H666" s="186">
        <f>H667-H665</f>
        <v>118855.42999997735</v>
      </c>
      <c r="I666" s="185"/>
      <c r="J666" s="185"/>
      <c r="K666" s="185"/>
      <c r="L666" s="287"/>
      <c r="M666" s="287"/>
      <c r="N666" s="287"/>
      <c r="O666" s="196"/>
      <c r="P666" s="184"/>
      <c r="Q666" s="184"/>
    </row>
    <row r="667" spans="1:17" x14ac:dyDescent="0.25">
      <c r="A667" s="184"/>
      <c r="B667" s="184"/>
      <c r="C667" s="185"/>
      <c r="D667" s="185"/>
      <c r="E667" s="185"/>
      <c r="F667" s="196"/>
      <c r="G667" s="196"/>
      <c r="H667" s="186">
        <v>111219710.41</v>
      </c>
      <c r="I667" s="185"/>
      <c r="J667" s="185"/>
      <c r="K667" s="185"/>
      <c r="L667" s="287"/>
      <c r="M667" s="287"/>
      <c r="N667" s="287"/>
      <c r="O667" s="196"/>
      <c r="P667" s="184"/>
      <c r="Q667" s="184"/>
    </row>
    <row r="668" spans="1:17" x14ac:dyDescent="0.25">
      <c r="A668" s="184"/>
      <c r="B668" s="184"/>
      <c r="C668" s="185"/>
      <c r="D668" s="185"/>
      <c r="E668" s="185"/>
      <c r="F668" s="288">
        <v>45331</v>
      </c>
      <c r="G668" s="286" t="s">
        <v>563</v>
      </c>
      <c r="H668" s="186">
        <f>H669-H667</f>
        <v>391104.73000001907</v>
      </c>
      <c r="I668" s="185"/>
      <c r="J668" s="185"/>
      <c r="K668" s="185"/>
      <c r="L668" s="287"/>
      <c r="M668" s="287"/>
      <c r="N668" s="287"/>
      <c r="O668" s="196"/>
      <c r="P668" s="184"/>
      <c r="Q668" s="184"/>
    </row>
    <row r="669" spans="1:17" x14ac:dyDescent="0.25">
      <c r="A669" s="184"/>
      <c r="B669" s="184"/>
      <c r="C669" s="185"/>
      <c r="D669" s="185"/>
      <c r="E669" s="185"/>
      <c r="F669" s="196"/>
      <c r="G669" s="196"/>
      <c r="H669" s="186">
        <v>111610815.14000002</v>
      </c>
      <c r="I669" s="185"/>
      <c r="J669" s="185"/>
      <c r="K669" s="185"/>
      <c r="L669" s="287"/>
      <c r="M669" s="287"/>
      <c r="N669" s="287"/>
      <c r="O669" s="196"/>
      <c r="P669" s="184"/>
      <c r="Q669" s="184"/>
    </row>
    <row r="670" spans="1:17" x14ac:dyDescent="0.25">
      <c r="A670" s="184"/>
      <c r="B670" s="184"/>
      <c r="C670" s="185"/>
      <c r="D670" s="185"/>
      <c r="E670" s="185"/>
      <c r="F670" s="288">
        <v>45335</v>
      </c>
      <c r="G670" s="369" t="s">
        <v>564</v>
      </c>
      <c r="H670" s="370">
        <f>H671-H669</f>
        <v>1012389.1299999952</v>
      </c>
      <c r="I670" s="185"/>
      <c r="J670" s="185"/>
      <c r="K670" s="185"/>
      <c r="L670" s="287"/>
      <c r="M670" s="287"/>
      <c r="N670" s="287"/>
      <c r="O670" s="196"/>
      <c r="P670" s="184"/>
      <c r="Q670" s="184"/>
    </row>
    <row r="671" spans="1:17" x14ac:dyDescent="0.25">
      <c r="A671" s="184"/>
      <c r="B671" s="184"/>
      <c r="C671" s="185"/>
      <c r="D671" s="185"/>
      <c r="E671" s="185"/>
      <c r="F671" s="196"/>
      <c r="G671" s="196"/>
      <c r="H671" s="186">
        <v>112623204.27000001</v>
      </c>
      <c r="I671" s="185"/>
      <c r="J671" s="185"/>
      <c r="K671" s="185"/>
      <c r="L671" s="287"/>
      <c r="M671" s="287"/>
      <c r="N671" s="287"/>
      <c r="O671" s="196"/>
      <c r="P671" s="184"/>
      <c r="Q671" s="184"/>
    </row>
    <row r="672" spans="1:17" x14ac:dyDescent="0.25">
      <c r="A672" s="184"/>
      <c r="B672" s="184"/>
      <c r="C672" s="185"/>
      <c r="D672" s="185"/>
      <c r="E672" s="185"/>
      <c r="F672" s="288">
        <v>45338</v>
      </c>
      <c r="G672" s="286" t="s">
        <v>628</v>
      </c>
      <c r="H672" s="186">
        <f>H673-H671</f>
        <v>815751.99000000954</v>
      </c>
      <c r="I672" s="185"/>
      <c r="J672" s="185"/>
      <c r="K672" s="185"/>
      <c r="L672" s="287"/>
      <c r="M672" s="287"/>
      <c r="N672" s="287"/>
      <c r="O672" s="196"/>
      <c r="P672" s="184"/>
      <c r="Q672" s="184"/>
    </row>
    <row r="673" spans="1:17" x14ac:dyDescent="0.25">
      <c r="A673" s="184"/>
      <c r="B673" s="184"/>
      <c r="C673" s="185"/>
      <c r="D673" s="185"/>
      <c r="E673" s="185"/>
      <c r="F673" s="196"/>
      <c r="G673" s="196"/>
      <c r="H673" s="186">
        <v>113438956.26000002</v>
      </c>
      <c r="I673" s="185"/>
      <c r="J673" s="185"/>
      <c r="K673" s="185"/>
      <c r="L673" s="287"/>
      <c r="M673" s="287"/>
      <c r="N673" s="287"/>
      <c r="O673" s="196"/>
      <c r="P673" s="184"/>
      <c r="Q673" s="184"/>
    </row>
    <row r="674" spans="1:17" x14ac:dyDescent="0.25">
      <c r="A674" s="184"/>
      <c r="B674" s="184"/>
      <c r="C674" s="185"/>
      <c r="D674" s="185"/>
      <c r="E674" s="185"/>
      <c r="F674" s="288">
        <v>45345</v>
      </c>
      <c r="G674" s="286" t="s">
        <v>629</v>
      </c>
      <c r="H674" s="186">
        <f>H675-H673</f>
        <v>116722.59000000358</v>
      </c>
      <c r="I674" s="185"/>
      <c r="J674" s="185"/>
      <c r="K674" s="185"/>
      <c r="L674" s="287"/>
      <c r="M674" s="287"/>
      <c r="N674" s="287"/>
      <c r="O674" s="196"/>
      <c r="P674" s="184"/>
      <c r="Q674" s="184"/>
    </row>
    <row r="675" spans="1:17" x14ac:dyDescent="0.25">
      <c r="A675" s="184"/>
      <c r="B675" s="184"/>
      <c r="C675" s="185"/>
      <c r="D675" s="185"/>
      <c r="E675" s="185"/>
      <c r="F675" s="196"/>
      <c r="G675" s="196"/>
      <c r="H675" s="225">
        <v>113555678.85000002</v>
      </c>
      <c r="I675" s="185"/>
      <c r="J675" s="185"/>
      <c r="K675" s="185"/>
      <c r="L675" s="287"/>
      <c r="M675" s="287"/>
      <c r="N675" s="287"/>
      <c r="O675" s="196"/>
      <c r="P675" s="184"/>
      <c r="Q675" s="184"/>
    </row>
    <row r="676" spans="1:17" x14ac:dyDescent="0.25">
      <c r="A676" s="184"/>
      <c r="B676" s="184"/>
      <c r="C676" s="185"/>
      <c r="D676" s="185"/>
      <c r="E676" s="185"/>
      <c r="F676" s="288">
        <v>45350</v>
      </c>
      <c r="G676" s="286" t="s">
        <v>630</v>
      </c>
      <c r="H676" s="186">
        <f>H677-H675</f>
        <v>415996.31999997795</v>
      </c>
      <c r="I676" s="185"/>
      <c r="J676" s="185"/>
      <c r="K676" s="185"/>
      <c r="L676" s="287"/>
      <c r="M676" s="287"/>
      <c r="N676" s="287"/>
      <c r="O676" s="196"/>
      <c r="P676" s="184"/>
      <c r="Q676" s="184"/>
    </row>
    <row r="677" spans="1:17" x14ac:dyDescent="0.25">
      <c r="A677" s="184"/>
      <c r="B677" s="184"/>
      <c r="C677" s="185"/>
      <c r="D677" s="185"/>
      <c r="E677" s="185"/>
      <c r="F677" s="196"/>
      <c r="G677" s="196"/>
      <c r="H677" s="186">
        <v>113971675.17</v>
      </c>
      <c r="I677" s="185"/>
      <c r="J677" s="185"/>
      <c r="K677" s="185"/>
      <c r="L677" s="287"/>
      <c r="M677" s="287"/>
      <c r="N677" s="287"/>
      <c r="O677" s="196"/>
      <c r="P677" s="184"/>
      <c r="Q677" s="184"/>
    </row>
    <row r="678" spans="1:17" x14ac:dyDescent="0.25">
      <c r="A678" s="184"/>
      <c r="B678" s="184"/>
      <c r="C678" s="185"/>
      <c r="D678" s="185"/>
      <c r="E678" s="185"/>
      <c r="F678" s="288">
        <v>45358</v>
      </c>
      <c r="G678" s="286" t="s">
        <v>631</v>
      </c>
      <c r="H678" s="186">
        <f>H679-H677</f>
        <v>477285.96000002325</v>
      </c>
      <c r="I678" s="185"/>
      <c r="J678" s="185"/>
      <c r="K678" s="185"/>
      <c r="L678" s="287"/>
      <c r="M678" s="287"/>
      <c r="N678" s="287"/>
      <c r="O678" s="196"/>
      <c r="P678" s="184"/>
      <c r="Q678" s="184"/>
    </row>
    <row r="679" spans="1:17" x14ac:dyDescent="0.25">
      <c r="A679" s="184"/>
      <c r="B679" s="184"/>
      <c r="C679" s="185"/>
      <c r="D679" s="185"/>
      <c r="E679" s="185"/>
      <c r="F679" s="196"/>
      <c r="G679" s="196"/>
      <c r="H679" s="186">
        <v>114448961.13000003</v>
      </c>
      <c r="I679" s="185"/>
      <c r="J679" s="185"/>
      <c r="K679" s="185"/>
      <c r="L679" s="287"/>
      <c r="M679" s="287"/>
      <c r="N679" s="287"/>
      <c r="O679" s="196"/>
      <c r="P679" s="184"/>
      <c r="Q679" s="184"/>
    </row>
    <row r="680" spans="1:17" x14ac:dyDescent="0.25">
      <c r="A680" s="184"/>
      <c r="B680" s="184"/>
      <c r="C680" s="185"/>
      <c r="D680" s="185"/>
      <c r="E680" s="185"/>
      <c r="F680" s="288">
        <v>45365</v>
      </c>
      <c r="G680" s="286" t="s">
        <v>632</v>
      </c>
      <c r="H680" s="186">
        <f>H681-H679</f>
        <v>591757.36999997497</v>
      </c>
      <c r="I680" s="185"/>
      <c r="J680" s="185"/>
      <c r="K680" s="185"/>
      <c r="L680" s="287"/>
      <c r="M680" s="287"/>
      <c r="N680" s="287"/>
      <c r="O680" s="196"/>
      <c r="P680" s="184"/>
      <c r="Q680" s="184"/>
    </row>
    <row r="681" spans="1:17" x14ac:dyDescent="0.25">
      <c r="A681" s="184"/>
      <c r="B681" s="184"/>
      <c r="C681" s="185"/>
      <c r="D681" s="185"/>
      <c r="E681" s="185"/>
      <c r="F681" s="196"/>
      <c r="G681" s="196"/>
      <c r="H681" s="186">
        <v>115040718.5</v>
      </c>
      <c r="I681" s="185"/>
      <c r="J681" s="185"/>
      <c r="K681" s="185"/>
      <c r="L681" s="287"/>
      <c r="M681" s="287"/>
      <c r="N681" s="287"/>
      <c r="O681" s="196"/>
      <c r="P681" s="184"/>
      <c r="Q681" s="184"/>
    </row>
    <row r="682" spans="1:17" x14ac:dyDescent="0.25">
      <c r="A682" s="184"/>
      <c r="B682" s="184"/>
      <c r="C682" s="185"/>
      <c r="D682" s="185"/>
      <c r="E682" s="185"/>
      <c r="F682" s="288">
        <v>45372</v>
      </c>
      <c r="G682" s="286" t="s">
        <v>633</v>
      </c>
      <c r="H682" s="186">
        <f>H683-H681</f>
        <v>489509.40000000596</v>
      </c>
      <c r="I682" s="185"/>
      <c r="J682" s="185"/>
      <c r="K682" s="185"/>
      <c r="L682" s="287"/>
      <c r="M682" s="287"/>
      <c r="N682" s="287"/>
      <c r="O682" s="196"/>
      <c r="P682" s="184"/>
      <c r="Q682" s="184"/>
    </row>
    <row r="683" spans="1:17" x14ac:dyDescent="0.25">
      <c r="A683" s="184"/>
      <c r="B683" s="184"/>
      <c r="C683" s="185"/>
      <c r="D683" s="185"/>
      <c r="E683" s="185"/>
      <c r="F683" s="196"/>
      <c r="G683" s="196"/>
      <c r="H683" s="186">
        <v>115530227.90000001</v>
      </c>
      <c r="I683" s="185"/>
      <c r="J683" s="185"/>
      <c r="K683" s="185"/>
      <c r="L683" s="287"/>
      <c r="M683" s="287"/>
      <c r="N683" s="287"/>
      <c r="O683" s="196"/>
      <c r="P683" s="184"/>
      <c r="Q683" s="184"/>
    </row>
  </sheetData>
  <conditionalFormatting sqref="A7:Q565">
    <cfRule type="expression" dxfId="86" priority="133">
      <formula>$L7&lt;0</formula>
    </cfRule>
  </conditionalFormatting>
  <conditionalFormatting sqref="H675">
    <cfRule type="expression" dxfId="85" priority="132">
      <formula>$L675&lt;0</formula>
    </cfRule>
  </conditionalFormatting>
  <conditionalFormatting sqref="L1:L683 A7:K7 M7:Q7">
    <cfRule type="cellIs" dxfId="84" priority="134" operator="lessThan">
      <formula>0</formula>
    </cfRule>
  </conditionalFormatting>
  <conditionalFormatting sqref="S9:T23">
    <cfRule type="cellIs" dxfId="83" priority="49" operator="lessThan">
      <formula>0</formula>
    </cfRule>
  </conditionalFormatting>
  <conditionalFormatting sqref="S31:T45">
    <cfRule type="cellIs" dxfId="82" priority="47" operator="lessThan">
      <formula>0</formula>
    </cfRule>
  </conditionalFormatting>
  <conditionalFormatting sqref="S52:T65">
    <cfRule type="cellIs" dxfId="81" priority="45" operator="lessThan">
      <formula>0</formula>
    </cfRule>
  </conditionalFormatting>
  <conditionalFormatting sqref="S70:T74">
    <cfRule type="cellIs" dxfId="80" priority="44" operator="lessThan">
      <formula>0</formula>
    </cfRule>
  </conditionalFormatting>
  <conditionalFormatting sqref="S83:T93">
    <cfRule type="cellIs" dxfId="79" priority="42" operator="lessThan">
      <formula>0</formula>
    </cfRule>
  </conditionalFormatting>
  <conditionalFormatting sqref="S104:T117">
    <cfRule type="cellIs" dxfId="78" priority="40" operator="lessThan">
      <formula>0</formula>
    </cfRule>
  </conditionalFormatting>
  <conditionalFormatting sqref="S125:T141">
    <cfRule type="cellIs" dxfId="77" priority="38" operator="lessThan">
      <formula>0</formula>
    </cfRule>
  </conditionalFormatting>
  <conditionalFormatting sqref="S150:T161">
    <cfRule type="cellIs" dxfId="76" priority="37" operator="lessThan">
      <formula>0</formula>
    </cfRule>
  </conditionalFormatting>
  <conditionalFormatting sqref="S168:T179">
    <cfRule type="cellIs" dxfId="75" priority="36" operator="lessThan">
      <formula>0</formula>
    </cfRule>
  </conditionalFormatting>
  <conditionalFormatting sqref="S188:T201">
    <cfRule type="cellIs" dxfId="74" priority="34" operator="lessThan">
      <formula>0</formula>
    </cfRule>
  </conditionalFormatting>
  <conditionalFormatting sqref="S210:T223">
    <cfRule type="cellIs" dxfId="73" priority="33" operator="lessThan">
      <formula>0</formula>
    </cfRule>
  </conditionalFormatting>
  <conditionalFormatting sqref="S232:T243">
    <cfRule type="cellIs" dxfId="72" priority="32" operator="lessThan">
      <formula>0</formula>
    </cfRule>
  </conditionalFormatting>
  <conditionalFormatting sqref="S252:T262">
    <cfRule type="cellIs" dxfId="71" priority="30" operator="lessThan">
      <formula>0</formula>
    </cfRule>
  </conditionalFormatting>
  <conditionalFormatting sqref="S269:T285">
    <cfRule type="cellIs" dxfId="70" priority="28" operator="lessThan">
      <formula>0</formula>
    </cfRule>
  </conditionalFormatting>
  <conditionalFormatting sqref="S293:T293">
    <cfRule type="cellIs" dxfId="69" priority="27" operator="lessThan">
      <formula>0</formula>
    </cfRule>
  </conditionalFormatting>
  <conditionalFormatting sqref="S315:T315">
    <cfRule type="cellIs" dxfId="68" priority="26" operator="lessThan">
      <formula>0</formula>
    </cfRule>
  </conditionalFormatting>
  <conditionalFormatting sqref="S28:U29">
    <cfRule type="cellIs" dxfId="67" priority="48" operator="lessThan">
      <formula>0</formula>
    </cfRule>
  </conditionalFormatting>
  <conditionalFormatting sqref="S50:U50">
    <cfRule type="cellIs" dxfId="66" priority="46" operator="lessThan">
      <formula>0</formula>
    </cfRule>
  </conditionalFormatting>
  <conditionalFormatting sqref="S79:U81">
    <cfRule type="cellIs" dxfId="65" priority="43" operator="lessThan">
      <formula>0</formula>
    </cfRule>
  </conditionalFormatting>
  <conditionalFormatting sqref="S98:U102">
    <cfRule type="cellIs" dxfId="64" priority="41" operator="lessThan">
      <formula>0</formula>
    </cfRule>
  </conditionalFormatting>
  <conditionalFormatting sqref="S122:U123">
    <cfRule type="cellIs" dxfId="63" priority="39" operator="lessThan">
      <formula>0</formula>
    </cfRule>
  </conditionalFormatting>
  <conditionalFormatting sqref="S184:U186">
    <cfRule type="cellIs" dxfId="62" priority="35" operator="lessThan">
      <formula>0</formula>
    </cfRule>
  </conditionalFormatting>
  <conditionalFormatting sqref="S248:U250">
    <cfRule type="cellIs" dxfId="61" priority="31" operator="lessThan">
      <formula>0</formula>
    </cfRule>
  </conditionalFormatting>
  <conditionalFormatting sqref="S267:U267">
    <cfRule type="cellIs" dxfId="60" priority="29" operator="lessThan">
      <formula>0</formula>
    </cfRule>
  </conditionalFormatting>
  <conditionalFormatting sqref="S7:V7">
    <cfRule type="cellIs" dxfId="59" priority="126" operator="lessThan">
      <formula>0</formula>
    </cfRule>
  </conditionalFormatting>
  <conditionalFormatting sqref="S7:W95">
    <cfRule type="expression" dxfId="58" priority="123">
      <formula>$L7&lt;0</formula>
    </cfRule>
  </conditionalFormatting>
  <conditionalFormatting sqref="S119:Z119">
    <cfRule type="expression" dxfId="57" priority="23">
      <formula>$L119&lt;0</formula>
    </cfRule>
  </conditionalFormatting>
  <conditionalFormatting sqref="S143:Z143">
    <cfRule type="expression" dxfId="56" priority="22">
      <formula>$L143&lt;0</formula>
    </cfRule>
  </conditionalFormatting>
  <conditionalFormatting sqref="S163:Z163">
    <cfRule type="expression" dxfId="55" priority="21">
      <formula>$L163&lt;0</formula>
    </cfRule>
  </conditionalFormatting>
  <conditionalFormatting sqref="S181:Z181">
    <cfRule type="expression" dxfId="54" priority="20">
      <formula>$L181&lt;0</formula>
    </cfRule>
  </conditionalFormatting>
  <conditionalFormatting sqref="S203:Z203">
    <cfRule type="expression" dxfId="53" priority="19">
      <formula>$L203&lt;0</formula>
    </cfRule>
  </conditionalFormatting>
  <conditionalFormatting sqref="S225:Z225">
    <cfRule type="expression" dxfId="52" priority="18">
      <formula>$L225&lt;0</formula>
    </cfRule>
  </conditionalFormatting>
  <conditionalFormatting sqref="S245:Z245">
    <cfRule type="expression" dxfId="51" priority="17">
      <formula>$L245&lt;0</formula>
    </cfRule>
  </conditionalFormatting>
  <conditionalFormatting sqref="S264:Z264">
    <cfRule type="expression" dxfId="50" priority="16">
      <formula>$L264&lt;0</formula>
    </cfRule>
  </conditionalFormatting>
  <conditionalFormatting sqref="S287:Z287">
    <cfRule type="expression" dxfId="49" priority="15">
      <formula>$L287&lt;0</formula>
    </cfRule>
  </conditionalFormatting>
  <conditionalFormatting sqref="S308:Z308">
    <cfRule type="expression" dxfId="48" priority="14">
      <formula>$L308&lt;0</formula>
    </cfRule>
  </conditionalFormatting>
  <conditionalFormatting sqref="S334:Z336">
    <cfRule type="expression" dxfId="47" priority="12">
      <formula>$L334&lt;0</formula>
    </cfRule>
  </conditionalFormatting>
  <conditionalFormatting sqref="S342:Z342">
    <cfRule type="expression" dxfId="46" priority="11">
      <formula>$L342&lt;0</formula>
    </cfRule>
  </conditionalFormatting>
  <conditionalFormatting sqref="S349:Z349">
    <cfRule type="expression" dxfId="45" priority="10">
      <formula>$L349&lt;0</formula>
    </cfRule>
  </conditionalFormatting>
  <conditionalFormatting sqref="S355:Z355">
    <cfRule type="expression" dxfId="44" priority="9">
      <formula>$L355&lt;0</formula>
    </cfRule>
  </conditionalFormatting>
  <conditionalFormatting sqref="S362:Z362">
    <cfRule type="expression" dxfId="43" priority="8">
      <formula>$L362&lt;0</formula>
    </cfRule>
  </conditionalFormatting>
  <conditionalFormatting sqref="S368:Z368">
    <cfRule type="expression" dxfId="42" priority="7">
      <formula>$L368&lt;0</formula>
    </cfRule>
  </conditionalFormatting>
  <conditionalFormatting sqref="S377:Z377">
    <cfRule type="expression" dxfId="41" priority="6">
      <formula>$L377&lt;0</formula>
    </cfRule>
  </conditionalFormatting>
  <conditionalFormatting sqref="S383:Z383">
    <cfRule type="expression" dxfId="40" priority="5">
      <formula>$L383&lt;0</formula>
    </cfRule>
  </conditionalFormatting>
  <conditionalFormatting sqref="S395:Z395">
    <cfRule type="expression" dxfId="39" priority="4">
      <formula>$L395&lt;0</formula>
    </cfRule>
  </conditionalFormatting>
  <conditionalFormatting sqref="S404:Z404">
    <cfRule type="expression" dxfId="38" priority="3">
      <formula>$L404&lt;0</formula>
    </cfRule>
  </conditionalFormatting>
  <conditionalFormatting sqref="S415:Z415">
    <cfRule type="expression" dxfId="37" priority="2">
      <formula>$L415&lt;0</formula>
    </cfRule>
  </conditionalFormatting>
  <conditionalFormatting sqref="S423:Z423">
    <cfRule type="expression" dxfId="36" priority="1">
      <formula>$L423&lt;0</formula>
    </cfRule>
  </conditionalFormatting>
  <conditionalFormatting sqref="U70:U73">
    <cfRule type="cellIs" dxfId="35" priority="83" operator="lessThan">
      <formula>0</formula>
    </cfRule>
  </conditionalFormatting>
  <conditionalFormatting sqref="V9:V23">
    <cfRule type="cellIs" dxfId="34" priority="124" operator="lessThan">
      <formula>0</formula>
    </cfRule>
  </conditionalFormatting>
  <conditionalFormatting sqref="W7:Z7 Z8:Z23">
    <cfRule type="cellIs" dxfId="33" priority="129" operator="lessThan">
      <formula>0</formula>
    </cfRule>
  </conditionalFormatting>
  <conditionalFormatting sqref="X9:Y23">
    <cfRule type="cellIs" dxfId="32" priority="121" operator="lessThan">
      <formula>0</formula>
    </cfRule>
  </conditionalFormatting>
  <conditionalFormatting sqref="X28:Y45">
    <cfRule type="cellIs" dxfId="31" priority="116" operator="lessThan">
      <formula>0</formula>
    </cfRule>
  </conditionalFormatting>
  <conditionalFormatting sqref="X50:Y65">
    <cfRule type="cellIs" dxfId="30" priority="76" operator="lessThan">
      <formula>0</formula>
    </cfRule>
  </conditionalFormatting>
  <conditionalFormatting sqref="X70:Y74">
    <cfRule type="cellIs" dxfId="29" priority="75" operator="lessThan">
      <formula>0</formula>
    </cfRule>
  </conditionalFormatting>
  <conditionalFormatting sqref="X79:Y93">
    <cfRule type="cellIs" dxfId="28" priority="74" operator="lessThan">
      <formula>0</formula>
    </cfRule>
  </conditionalFormatting>
  <conditionalFormatting sqref="X98:Y117">
    <cfRule type="cellIs" dxfId="27" priority="73" operator="lessThan">
      <formula>0</formula>
    </cfRule>
  </conditionalFormatting>
  <conditionalFormatting sqref="X122:Y141">
    <cfRule type="cellIs" dxfId="26" priority="72" operator="lessThan">
      <formula>0</formula>
    </cfRule>
  </conditionalFormatting>
  <conditionalFormatting sqref="X148:Y161">
    <cfRule type="cellIs" dxfId="25" priority="71" operator="lessThan">
      <formula>0</formula>
    </cfRule>
  </conditionalFormatting>
  <conditionalFormatting sqref="X167:Y179">
    <cfRule type="cellIs" dxfId="24" priority="70" operator="lessThan">
      <formula>0</formula>
    </cfRule>
  </conditionalFormatting>
  <conditionalFormatting sqref="X184:Y201">
    <cfRule type="cellIs" dxfId="23" priority="69" operator="lessThan">
      <formula>0</formula>
    </cfRule>
  </conditionalFormatting>
  <conditionalFormatting sqref="X208:Y223">
    <cfRule type="cellIs" dxfId="22" priority="68" operator="lessThan">
      <formula>0</formula>
    </cfRule>
  </conditionalFormatting>
  <conditionalFormatting sqref="X232:Y243">
    <cfRule type="cellIs" dxfId="21" priority="67" operator="lessThan">
      <formula>0</formula>
    </cfRule>
  </conditionalFormatting>
  <conditionalFormatting sqref="X248:Y262">
    <cfRule type="cellIs" dxfId="20" priority="66" operator="lessThan">
      <formula>0</formula>
    </cfRule>
  </conditionalFormatting>
  <conditionalFormatting sqref="X267:Y285">
    <cfRule type="cellIs" dxfId="19" priority="65" operator="lessThan">
      <formula>0</formula>
    </cfRule>
  </conditionalFormatting>
  <conditionalFormatting sqref="X293:Y293">
    <cfRule type="cellIs" dxfId="18" priority="64" operator="lessThan">
      <formula>0</formula>
    </cfRule>
  </conditionalFormatting>
  <conditionalFormatting sqref="X315:Y315">
    <cfRule type="colorScale" priority="62">
      <colorScale>
        <cfvo type="min"/>
        <cfvo type="percentile" val="50"/>
        <cfvo type="max"/>
        <color rgb="FFF8696B"/>
        <color rgb="FFFCFCFF"/>
        <color rgb="FF63BE7B"/>
      </colorScale>
    </cfRule>
    <cfRule type="cellIs" dxfId="17" priority="63" operator="lessThan">
      <formula>0</formula>
    </cfRule>
  </conditionalFormatting>
  <conditionalFormatting sqref="X339:Y340">
    <cfRule type="cellIs" dxfId="16" priority="61" operator="lessThan">
      <formula>0</formula>
    </cfRule>
  </conditionalFormatting>
  <conditionalFormatting sqref="X345:Y347">
    <cfRule type="cellIs" dxfId="15" priority="60" operator="lessThan">
      <formula>0</formula>
    </cfRule>
  </conditionalFormatting>
  <conditionalFormatting sqref="X352:Y353">
    <cfRule type="cellIs" dxfId="14" priority="59" operator="lessThan">
      <formula>0</formula>
    </cfRule>
  </conditionalFormatting>
  <conditionalFormatting sqref="X358:Y360">
    <cfRule type="cellIs" dxfId="13" priority="58" operator="lessThan">
      <formula>0</formula>
    </cfRule>
  </conditionalFormatting>
  <conditionalFormatting sqref="X365:Y366">
    <cfRule type="cellIs" dxfId="12" priority="57" operator="lessThan">
      <formula>0</formula>
    </cfRule>
  </conditionalFormatting>
  <conditionalFormatting sqref="X371:Y375">
    <cfRule type="cellIs" dxfId="11" priority="56" operator="lessThan">
      <formula>0</formula>
    </cfRule>
  </conditionalFormatting>
  <conditionalFormatting sqref="X380:Y381">
    <cfRule type="cellIs" dxfId="10" priority="55" operator="lessThan">
      <formula>0</formula>
    </cfRule>
  </conditionalFormatting>
  <conditionalFormatting sqref="X386:Y393">
    <cfRule type="cellIs" dxfId="9" priority="54" operator="lessThan">
      <formula>0</formula>
    </cfRule>
  </conditionalFormatting>
  <conditionalFormatting sqref="X400:Y402">
    <cfRule type="cellIs" dxfId="8" priority="53" operator="lessThan">
      <formula>0</formula>
    </cfRule>
  </conditionalFormatting>
  <conditionalFormatting sqref="X410:Y412">
    <cfRule type="cellIs" dxfId="7" priority="52" operator="lessThan">
      <formula>0</formula>
    </cfRule>
  </conditionalFormatting>
  <conditionalFormatting sqref="X418:Y421">
    <cfRule type="cellIs" dxfId="6" priority="51" operator="lessThan">
      <formula>0</formula>
    </cfRule>
  </conditionalFormatting>
  <conditionalFormatting sqref="X426:Y426">
    <cfRule type="cellIs" dxfId="5" priority="25" operator="lessThan">
      <formula>0</formula>
    </cfRule>
  </conditionalFormatting>
  <conditionalFormatting sqref="X428:Y430">
    <cfRule type="cellIs" dxfId="4" priority="50" operator="lessThan">
      <formula>0</formula>
    </cfRule>
  </conditionalFormatting>
  <conditionalFormatting sqref="X7:Z94 S96:Z118 S120:Z142 S144:Z162 S164:Z180 S182:Z202 S204:Z224 S226:Z244 S246:Z263 S265:Z286 S288:Z307 S309:Z333 S337:Z341 S343:Z348 S350:Z354 S356:Z361 S363:Z367 S369:Z376 S378:Z382 S384:Z394 S396:Z403 S405:Z414 S416:Z422 S424:Z565">
    <cfRule type="expression" dxfId="3" priority="128">
      <formula>$L7&lt;0</formula>
    </cfRule>
  </conditionalFormatting>
  <conditionalFormatting sqref="X95:Z95">
    <cfRule type="expression" dxfId="2" priority="24">
      <formula>$L95&lt;0</formula>
    </cfRule>
  </conditionalFormatting>
  <conditionalFormatting sqref="AA7:AC7">
    <cfRule type="cellIs" dxfId="1" priority="131" operator="lessThan">
      <formula>0</formula>
    </cfRule>
  </conditionalFormatting>
  <conditionalFormatting sqref="AA7:AC565">
    <cfRule type="expression" dxfId="0" priority="130">
      <formula>$L7&lt;0</formula>
    </cfRule>
  </conditionalFormatting>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61D29254F65A840BE24AEB1A1EC6805" ma:contentTypeVersion="15" ma:contentTypeDescription="Create a new document." ma:contentTypeScope="" ma:versionID="3ded07e23e72d78bd64be06c76ea1817">
  <xsd:schema xmlns:xsd="http://www.w3.org/2001/XMLSchema" xmlns:xs="http://www.w3.org/2001/XMLSchema" xmlns:p="http://schemas.microsoft.com/office/2006/metadata/properties" xmlns:ns3="0d11559c-1eef-4ca0-a6f4-0cf5d6efd52f" xmlns:ns4="a3a57631-bdd8-4339-95ad-3d7e8a870b2e" targetNamespace="http://schemas.microsoft.com/office/2006/metadata/properties" ma:root="true" ma:fieldsID="7a41d56b63434f27c6e56ad7d4438e27" ns3:_="" ns4:_="">
    <xsd:import namespace="0d11559c-1eef-4ca0-a6f4-0cf5d6efd52f"/>
    <xsd:import namespace="a3a57631-bdd8-4339-95ad-3d7e8a870b2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LengthInSeconds" minOccurs="0"/>
                <xsd:element ref="ns3:_activity" minOccurs="0"/>
                <xsd:element ref="ns4:SharedWithUsers" minOccurs="0"/>
                <xsd:element ref="ns4:SharedWithDetails" minOccurs="0"/>
                <xsd:element ref="ns4:SharingHintHash" minOccurs="0"/>
                <xsd:element ref="ns3:MediaServiceObjectDetectorVersions" minOccurs="0"/>
                <xsd:element ref="ns3:MediaServiceSystemTags" minOccurs="0"/>
                <xsd:element ref="ns3:MediaServiceOCR"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d11559c-1eef-4ca0-a6f4-0cf5d6efd5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_activity" ma:index="15" nillable="true" ma:displayName="_activity" ma:hidden="true" ma:internalName="_activity">
      <xsd:simpleType>
        <xsd:restriction base="dms:Note"/>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ystemTags" ma:index="20" nillable="true" ma:displayName="MediaServiceSystemTags" ma:hidden="true" ma:internalName="MediaServiceSystemTag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3a57631-bdd8-4339-95ad-3d7e8a870b2e"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d11559c-1eef-4ca0-a6f4-0cf5d6efd52f" xsi:nil="true"/>
  </documentManagement>
</p:properties>
</file>

<file path=customXml/itemProps1.xml><?xml version="1.0" encoding="utf-8"?>
<ds:datastoreItem xmlns:ds="http://schemas.openxmlformats.org/officeDocument/2006/customXml" ds:itemID="{AED81237-31B1-44D2-AFD0-1B91200879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d11559c-1eef-4ca0-a6f4-0cf5d6efd52f"/>
    <ds:schemaRef ds:uri="a3a57631-bdd8-4339-95ad-3d7e8a870b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0A015F-F234-4431-87C5-EE4882CDF612}">
  <ds:schemaRefs>
    <ds:schemaRef ds:uri="http://schemas.microsoft.com/sharepoint/v3/contenttype/forms"/>
  </ds:schemaRefs>
</ds:datastoreItem>
</file>

<file path=customXml/itemProps3.xml><?xml version="1.0" encoding="utf-8"?>
<ds:datastoreItem xmlns:ds="http://schemas.openxmlformats.org/officeDocument/2006/customXml" ds:itemID="{C7B71886-8CD2-4113-BC04-A59CBD4FACCD}">
  <ds:schemaRefs>
    <ds:schemaRef ds:uri="http://purl.org/dc/dcmitype/"/>
    <ds:schemaRef ds:uri="http://purl.org/dc/elements/1.1/"/>
    <ds:schemaRef ds:uri="http://schemas.microsoft.com/office/2006/documentManagement/types"/>
    <ds:schemaRef ds:uri="http://schemas.openxmlformats.org/package/2006/metadata/core-properties"/>
    <ds:schemaRef ds:uri="http://www.w3.org/XML/1998/namespace"/>
    <ds:schemaRef ds:uri="a3a57631-bdd8-4339-95ad-3d7e8a870b2e"/>
    <ds:schemaRef ds:uri="http://purl.org/dc/terms/"/>
    <ds:schemaRef ds:uri="http://schemas.microsoft.com/office/infopath/2007/PartnerControls"/>
    <ds:schemaRef ds:uri="0d11559c-1eef-4ca0-a6f4-0cf5d6efd52f"/>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9</vt:i4>
      </vt:variant>
    </vt:vector>
  </HeadingPairs>
  <TitlesOfParts>
    <vt:vector size="23" baseType="lpstr">
      <vt:lpstr>2022A Revised</vt:lpstr>
      <vt:lpstr>20-Year Acad Revised</vt:lpstr>
      <vt:lpstr>20-Year Fac Renewal Acad</vt:lpstr>
      <vt:lpstr>10-Year Fac Renewal Revised</vt:lpstr>
      <vt:lpstr>Adjustment-42nd Amendment</vt:lpstr>
      <vt:lpstr>Percentage-082222</vt:lpstr>
      <vt:lpstr>Percentage-082222 Revised</vt:lpstr>
      <vt:lpstr>Percentage-021423</vt:lpstr>
      <vt:lpstr>Percentage 8-14-23</vt:lpstr>
      <vt:lpstr>summary 8-14-23</vt:lpstr>
      <vt:lpstr>Percentage 02-14-24</vt:lpstr>
      <vt:lpstr>summary 2-14-24</vt:lpstr>
      <vt:lpstr>Percentage Final</vt:lpstr>
      <vt:lpstr>summary Final 4-19-24</vt:lpstr>
      <vt:lpstr>'10-Year Fac Renewal Revised'!Print_Area</vt:lpstr>
      <vt:lpstr>'2022A Revised'!Print_Area</vt:lpstr>
      <vt:lpstr>'20-Year Fac Renewal Acad'!Print_Area</vt:lpstr>
      <vt:lpstr>'Percentage 02-14-24'!Print_Area</vt:lpstr>
      <vt:lpstr>'Percentage Final'!Print_Area</vt:lpstr>
      <vt:lpstr>'10-Year Fac Renewal Revised'!Print_Titles</vt:lpstr>
      <vt:lpstr>'2022A Revised'!Print_Titles</vt:lpstr>
      <vt:lpstr>'20-Year Acad Revised'!Print_Titles</vt:lpstr>
      <vt:lpstr>'20-Year Fac Renewal Acad'!Print_Titles</vt:lpstr>
    </vt:vector>
  </TitlesOfParts>
  <Company>University System of Maryland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Mei-Chin Yang</dc:creator>
  <cp:lastModifiedBy>Eric Nicholson</cp:lastModifiedBy>
  <cp:lastPrinted>2024-05-21T20:19:46Z</cp:lastPrinted>
  <dcterms:created xsi:type="dcterms:W3CDTF">2011-02-21T16:49:07Z</dcterms:created>
  <dcterms:modified xsi:type="dcterms:W3CDTF">2024-06-06T14:24:51Z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0x010100E61D29254F65A840BE24AEB1A1EC6805</vt:lpwstr>
  </property>
</Properties>
</file>